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DU 2020-2023" sheetId="1" state="visible" r:id="rId2"/>
    <sheet name="PA 2020 " sheetId="2" state="visible" r:id="rId3"/>
    <sheet name="PA 2021" sheetId="3" state="visible" r:id="rId4"/>
    <sheet name="PA 2022" sheetId="4" state="visible" r:id="rId5"/>
    <sheet name="PA 2023" sheetId="5" state="visible" r:id="rId6"/>
    <sheet name="Parametros" sheetId="6" state="hidden" r:id="rId7"/>
    <sheet name="Obj PDI" sheetId="7" state="visible" r:id="rId8"/>
    <sheet name="Obj PG" sheetId="8" state="visible" r:id="rId9"/>
  </sheets>
  <definedNames>
    <definedName function="false" hidden="false" name="Cabeçalho" vbProcedure="false">'PDU 2020-2023'!$A$1:$AC$3</definedName>
    <definedName function="false" hidden="false" name="ObjetivosPDU" vbProcedure="false">'PDU 2020-2023'!$D$4:$D$105</definedName>
    <definedName function="false" hidden="false" name="PDI" vbProcedure="false">Parametros!$L$1:$L$197</definedName>
    <definedName function="false" hidden="false" name="PG" vbProcedure="false">Parametros!$M$1:$M$197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Arial"/>
            <family val="0"/>
            <charset val="1"/>
          </rPr>
          <t xml:space="preserve">Indicar se o objetivo do PDU a ser inserido está atrelado diretamente ao PDI ou PG.</t>
        </r>
      </text>
    </comment>
    <comment ref="B2" authorId="0">
      <text>
        <r>
          <rPr>
            <sz val="11"/>
            <color rgb="FF000000"/>
            <rFont val="Arial"/>
            <family val="0"/>
            <charset val="1"/>
          </rPr>
          <t xml:space="preserve">Inserir o número do Objetivo do Plano de Gestão (formato Eixo.Objetivo) ou da Diretriz do PDI (formato Objetivo.Diretriz).</t>
        </r>
      </text>
    </comment>
    <comment ref="D2" authorId="0">
      <text>
        <r>
          <rPr>
            <sz val="11"/>
            <color rgb="FF000000"/>
            <rFont val="Arial"/>
            <family val="0"/>
            <charset val="1"/>
          </rPr>
          <t xml:space="preserve">Campo que contém o texto da Diretriz do PDI ou do Objetivo do PG da forma como foi aprovado pelo CONSUN.</t>
        </r>
      </text>
    </comment>
    <comment ref="E2" authorId="0">
      <text>
        <r>
          <rPr>
            <sz val="11"/>
            <color rgb="FF000000"/>
            <rFont val="Arial"/>
            <family val="0"/>
            <charset val="1"/>
          </rPr>
          <t xml:space="preserve">Indicar se sua macrounidade atua como: 
- Responsável: coordena as ações e presta contas quanto a concretização do objetivo.
- Corresponsável: atua dando apoio por meio de ações coordenadas ou demandas pelo responsável.</t>
        </r>
      </text>
    </comment>
    <comment ref="F2" authorId="0">
      <text>
        <r>
          <rPr>
            <sz val="11"/>
            <color rgb="FF000000"/>
            <rFont val="Arial"/>
            <family val="0"/>
            <charset val="1"/>
          </rPr>
          <t xml:space="preserve">Indicar qual é a área dentro de sua macrounidade que será responsável por coordenar os esforços para a concretização do objetivo bem como acompanhar o progresso da meta.</t>
        </r>
      </text>
    </comment>
    <comment ref="K2" authorId="0">
      <text>
        <r>
          <rPr>
            <sz val="11"/>
            <color rgb="FF000000"/>
            <rFont val="Arial"/>
            <family val="0"/>
            <charset val="1"/>
          </rPr>
          <t xml:space="preserve">Deve-se estabelecer metas mensuráveis para todos os objetivos.
A meta deve ser plurianual, ou seja, uma meta para todo o período de vigência do PDU.</t>
        </r>
      </text>
    </comment>
    <comment ref="L2" authorId="0">
      <text>
        <r>
          <rPr>
            <sz val="11"/>
            <color rgb="FF000000"/>
            <rFont val="Arial"/>
            <family val="0"/>
            <charset val="1"/>
          </rPr>
          <t xml:space="preserve">- Quando for o caso, deve-se apontar se o objetivo do PDI tem correspondente no Plano de Gestão ou vice-versa, selecionando aqui o número do objetivo ou da diretriz correspondente.
- Quando o objetivo em questão não tiver correspondência selecione N/A.</t>
        </r>
      </text>
    </comment>
    <comment ref="AC2" authorId="0">
      <text>
        <r>
          <rPr>
            <sz val="11"/>
            <color rgb="FF000000"/>
            <rFont val="Arial"/>
            <family val="0"/>
            <charset val="1"/>
          </rPr>
          <t xml:space="preserve">Inserir de forma objetiva quais os elementos que justificam a opção escolhida na avaliação do atual trimestre.  Por exemplo, caso tenha selecionado a opção "4. Atingimos mais da metade desta meta", insira neste campo o que a área já concretizou que indica tal atingimento.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Arial"/>
            <family val="0"/>
            <charset val="1"/>
          </rPr>
          <t xml:space="preserve">Selecionar o código referente ao objetivo do PDU, de acordo com os códigos existentes na aba PDU 2020-2023, colunas A e B.</t>
        </r>
      </text>
    </comment>
    <comment ref="B2" authorId="0">
      <text>
        <r>
          <rPr>
            <sz val="11"/>
            <color rgb="FF000000"/>
            <rFont val="Arial"/>
            <family val="0"/>
            <charset val="1"/>
          </rPr>
          <t xml:space="preserve">Cada objetivo do PDU irá ser operacionalizado por meio de ações. Assim, deve-se inserir o número da ação para cada objetivo observando sua ordem e seguindo uma sequência independe do ano. Por exemplo, Se o objetivo 1.1 teve as ações 1 e 2  executadas em 2020, mas, o mesmo objetivo também terá ações em 2021, então as ações de 2021 serão enumeradas a partir do 3 e não novamente do 1.</t>
        </r>
      </text>
    </comment>
    <comment ref="C2" authorId="0">
      <text>
        <r>
          <rPr>
            <sz val="11"/>
            <color rgb="FF000000"/>
            <rFont val="Arial"/>
            <family val="0"/>
            <charset val="1"/>
          </rPr>
          <t xml:space="preserve">Este campo indica o código de identificação da ação.</t>
        </r>
      </text>
    </comment>
    <comment ref="D2" authorId="0">
      <text>
        <r>
          <rPr>
            <sz val="11"/>
            <color rgb="FF000000"/>
            <rFont val="Arial"/>
            <family val="0"/>
            <charset val="1"/>
          </rPr>
          <t xml:space="preserve">Deve-se inserir o nome da ação que será realizada.
</t>
        </r>
      </text>
    </comment>
    <comment ref="E2" authorId="0">
      <text>
        <r>
          <rPr>
            <sz val="11"/>
            <color rgb="FF000000"/>
            <rFont val="Arial"/>
            <family val="0"/>
            <charset val="1"/>
          </rPr>
          <t xml:space="preserve">Assinalar se haverá necessidade de recursos orçamentários para executar a ação.</t>
        </r>
      </text>
    </comment>
    <comment ref="N2" authorId="0">
      <text>
        <r>
          <rPr>
            <sz val="11"/>
            <color rgb="FF000000"/>
            <rFont val="Arial"/>
            <family val="0"/>
            <charset val="1"/>
          </rPr>
          <t xml:space="preserve">Campo para inserir outras informações relevantes para a execução ou acompanhamento da ação.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Arial"/>
            <family val="0"/>
            <charset val="1"/>
          </rPr>
          <t xml:space="preserve">Selecionar o código referente ao objetivo do PDU, de acordo com os códigos existentes na aba PDU 2020-2023, colunas A e B.</t>
        </r>
      </text>
    </comment>
    <comment ref="B2" authorId="0">
      <text>
        <r>
          <rPr>
            <sz val="11"/>
            <color rgb="FF000000"/>
            <rFont val="Arial"/>
            <family val="0"/>
            <charset val="1"/>
          </rPr>
          <t xml:space="preserve">Cada objetivo do PDU irá ser operacionalizado por meio de ações. Assim, deve-se inserir o número da ação para cada objetivo observando sua ordem e seguindo uma sequência independe do ano. Por exemplo, Se o objetivo 1.1 teve as ações 1 e 2  executadas em 2020, mas, o mesmo objetivo também terá ações em 2021, então as ações de 2021 serão enumeradas a partir do 3 e não novamente do 1.</t>
        </r>
      </text>
    </comment>
    <comment ref="C2" authorId="0">
      <text>
        <r>
          <rPr>
            <sz val="11"/>
            <color rgb="FF000000"/>
            <rFont val="Arial"/>
            <family val="0"/>
            <charset val="1"/>
          </rPr>
          <t xml:space="preserve">Este campo indica o código de identificação da ação.</t>
        </r>
      </text>
    </comment>
    <comment ref="D2" authorId="0">
      <text>
        <r>
          <rPr>
            <sz val="11"/>
            <color rgb="FF000000"/>
            <rFont val="Arial"/>
            <family val="0"/>
            <charset val="1"/>
          </rPr>
          <t xml:space="preserve">Deve-se inserir o nome da ação que será realizada.
</t>
        </r>
      </text>
    </comment>
    <comment ref="E2" authorId="0">
      <text>
        <r>
          <rPr>
            <sz val="11"/>
            <color rgb="FF000000"/>
            <rFont val="Arial"/>
            <family val="0"/>
            <charset val="1"/>
          </rPr>
          <t xml:space="preserve">Assinalar se haverá necessidade de recursos orçamentários para executar a ação.</t>
        </r>
      </text>
    </comment>
    <comment ref="N2" authorId="0">
      <text>
        <r>
          <rPr>
            <sz val="11"/>
            <color rgb="FF000000"/>
            <rFont val="Arial"/>
            <family val="0"/>
            <charset val="1"/>
          </rPr>
          <t xml:space="preserve">Campo para inserir outras informações relevantes para a execução ou acompanhamento da ação.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Arial"/>
            <family val="0"/>
            <charset val="1"/>
          </rPr>
          <t xml:space="preserve">Selecionar o código referente ao objetivo do PDU, de acordo com os códigos existentes na aba PDU 2020-2023, colunas A e B.</t>
        </r>
      </text>
    </comment>
    <comment ref="B2" authorId="0">
      <text>
        <r>
          <rPr>
            <sz val="11"/>
            <color rgb="FF000000"/>
            <rFont val="Arial"/>
            <family val="0"/>
            <charset val="1"/>
          </rPr>
          <t xml:space="preserve">Cada objetivo do PDU irá ser operacionalizado por meio de ações. Assim, deve-se inserir o número da ação para cada objetivo observando sua ordem e seguindo uma sequência independe do ano. Por exemplo, Se o objetivo 1.1 teve as ações 1 e 2  executadas em 2020, mas, o mesmo objetivo também terá ações em 2021, então as ações de 2021 serão enumeradas a partir do 3 e não novamente do 1.</t>
        </r>
      </text>
    </comment>
    <comment ref="C2" authorId="0">
      <text>
        <r>
          <rPr>
            <sz val="11"/>
            <color rgb="FF000000"/>
            <rFont val="Arial"/>
            <family val="0"/>
            <charset val="1"/>
          </rPr>
          <t xml:space="preserve">Este campo indica o código de identificação da ação.</t>
        </r>
      </text>
    </comment>
    <comment ref="D2" authorId="0">
      <text>
        <r>
          <rPr>
            <sz val="11"/>
            <color rgb="FF000000"/>
            <rFont val="Arial"/>
            <family val="0"/>
            <charset val="1"/>
          </rPr>
          <t xml:space="preserve">Deve-se inserir o nome da ação que será realizada.
</t>
        </r>
      </text>
    </comment>
    <comment ref="E2" authorId="0">
      <text>
        <r>
          <rPr>
            <sz val="11"/>
            <color rgb="FF000000"/>
            <rFont val="Arial"/>
            <family val="0"/>
            <charset val="1"/>
          </rPr>
          <t xml:space="preserve">Assinalar se haverá necessidade de recursos orçamentários para executar a ação.</t>
        </r>
      </text>
    </comment>
    <comment ref="N2" authorId="0">
      <text>
        <r>
          <rPr>
            <sz val="11"/>
            <color rgb="FF000000"/>
            <rFont val="Arial"/>
            <family val="0"/>
            <charset val="1"/>
          </rPr>
          <t xml:space="preserve">Campo para inserir outras informações relevantes para a execução ou acompanhamento da ação.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Arial"/>
            <family val="0"/>
            <charset val="1"/>
          </rPr>
          <t xml:space="preserve">Selecionar o código referente ao objetivo do PDU, de acordo com os códigos existentes na aba PDU 2020-2023, colunas A e B.</t>
        </r>
      </text>
    </comment>
    <comment ref="B2" authorId="0">
      <text>
        <r>
          <rPr>
            <sz val="11"/>
            <color rgb="FF000000"/>
            <rFont val="Arial"/>
            <family val="0"/>
            <charset val="1"/>
          </rPr>
          <t xml:space="preserve">Cada objetivo do PDU irá ser operacionalizado por meio de ações. Assim, deve-se inserir o número da ação para cada objetivo observando sua ordem e seguindo uma sequência independe do ano. Por exemplo, Se o objetivo 1.1 teve as ações 1 e 2  executadas em 2020, mas, o mesmo objetivo também terá ações em 2021, então as ações de 2021 serão enumeradas a partir do 3 e não novamente do 1.</t>
        </r>
      </text>
    </comment>
    <comment ref="C2" authorId="0">
      <text>
        <r>
          <rPr>
            <sz val="11"/>
            <color rgb="FF000000"/>
            <rFont val="Arial"/>
            <family val="0"/>
            <charset val="1"/>
          </rPr>
          <t xml:space="preserve">Este campo indica o código de identificação da ação.</t>
        </r>
      </text>
    </comment>
    <comment ref="D2" authorId="0">
      <text>
        <r>
          <rPr>
            <sz val="11"/>
            <color rgb="FF000000"/>
            <rFont val="Arial"/>
            <family val="0"/>
            <charset val="1"/>
          </rPr>
          <t xml:space="preserve">Deve-se inserir o nome da ação que será realizada.
</t>
        </r>
      </text>
    </comment>
    <comment ref="E2" authorId="0">
      <text>
        <r>
          <rPr>
            <sz val="11"/>
            <color rgb="FF000000"/>
            <rFont val="Arial"/>
            <family val="0"/>
            <charset val="1"/>
          </rPr>
          <t xml:space="preserve">Assinalar se haverá necessidade de recursos orçamentários para executar a ação.</t>
        </r>
      </text>
    </comment>
    <comment ref="N2" authorId="0">
      <text>
        <r>
          <rPr>
            <sz val="11"/>
            <color rgb="FF000000"/>
            <rFont val="Arial"/>
            <family val="0"/>
            <charset val="1"/>
          </rPr>
          <t xml:space="preserve">Campo para inserir outras informações relevantes para a execução ou acompanhamento da ação.</t>
        </r>
      </text>
    </comment>
  </commentList>
</comments>
</file>

<file path=xl/sharedStrings.xml><?xml version="1.0" encoding="utf-8"?>
<sst xmlns="http://schemas.openxmlformats.org/spreadsheetml/2006/main" count="1322" uniqueCount="495">
  <si>
    <t xml:space="preserve">PDI</t>
  </si>
  <si>
    <t xml:space="preserve">14.2</t>
  </si>
  <si>
    <t xml:space="preserve">1. Responsável</t>
  </si>
  <si>
    <t xml:space="preserve">Ouvidor</t>
  </si>
  <si>
    <t xml:space="preserve">x</t>
  </si>
  <si>
    <t xml:space="preserve">Publicar até dezembro de 2020 no site da UNILA os fluxogramas de macroprocessos de entrada e tratamento das manifestações de ouvidoria, inclusive de denúncias.</t>
  </si>
  <si>
    <t xml:space="preserve">4.9</t>
  </si>
  <si>
    <t xml:space="preserve">4. Atingimos mais da metade desta meta</t>
  </si>
  <si>
    <t xml:space="preserve">5. Atingimos a totalidade desta meta</t>
  </si>
  <si>
    <t xml:space="preserve">Realização das adequações finais nos fluxogramas após apreciação da PROPLAN</t>
  </si>
  <si>
    <t xml:space="preserve">PG</t>
  </si>
  <si>
    <t xml:space="preserve">Equipe da Ouvidoria e Consun</t>
  </si>
  <si>
    <t xml:space="preserve">Publicar até dezembro de 2020 o novo regimento da Ouvidoria</t>
  </si>
  <si>
    <t xml:space="preserve">Envio da Minuta  do Regimento para ser pautada no Consun</t>
  </si>
  <si>
    <t xml:space="preserve">4.22</t>
  </si>
  <si>
    <t xml:space="preserve">2. Corresponsável</t>
  </si>
  <si>
    <t xml:space="preserve">Vice Ouvidora</t>
  </si>
  <si>
    <t xml:space="preserve">Publicar relatório semestral de gestão da ouvidoria</t>
  </si>
  <si>
    <t xml:space="preserve">N/A</t>
  </si>
  <si>
    <t xml:space="preserve">Relatório do semetre 2 de 2019 publicizado; 
Relatório do semestre 1 de 2020 em elaboração</t>
  </si>
  <si>
    <t xml:space="preserve">4.7</t>
  </si>
  <si>
    <t xml:space="preserve">Ouvidoria</t>
  </si>
  <si>
    <t xml:space="preserve">Emitir sugestões de melhorias sempre que observar a necessidade dessas por meio das análises das manifestações de ouvidoria</t>
  </si>
  <si>
    <t xml:space="preserve">2.2</t>
  </si>
  <si>
    <t xml:space="preserve">Mapear, avaliar e proporcionar melhoria contínua nos 6 macroprocessos de manifestações de ouvidoria</t>
  </si>
  <si>
    <t xml:space="preserve">2.3</t>
  </si>
  <si>
    <t xml:space="preserve">Equipe da Ouvidoria</t>
  </si>
  <si>
    <t xml:space="preserve">3 servidores da Ouvidoria com certificados de capacitação</t>
  </si>
  <si>
    <t xml:space="preserve">2. Atingimos menos da metade desta meta</t>
  </si>
  <si>
    <t xml:space="preserve">Certificado de capacitação</t>
  </si>
  <si>
    <t xml:space="preserve">4.2</t>
  </si>
  <si>
    <t xml:space="preserve">Atuar na adequação da Unila aos 49 itens de transparência ativa da CGU</t>
  </si>
  <si>
    <t xml:space="preserve">1. Não iniciado</t>
  </si>
  <si>
    <t xml:space="preserve">Avaliação da CGU que todos os itens cumprem a legislaçãoe critérios de transparência ativa</t>
  </si>
  <si>
    <t xml:space="preserve">5.1</t>
  </si>
  <si>
    <t xml:space="preserve">Realizar uma pesquisa de satisfação com conselho de usuários até final de setembro de 2021</t>
  </si>
  <si>
    <t xml:space="preserve">1.1</t>
  </si>
  <si>
    <t xml:space="preserve">relatório da pesquisa público no site da unila</t>
  </si>
  <si>
    <t xml:space="preserve">Instituir conselhos de usuários</t>
  </si>
  <si>
    <t xml:space="preserve">relação de conselheiros</t>
  </si>
  <si>
    <t xml:space="preserve">4.6</t>
  </si>
  <si>
    <t xml:space="preserve">Elaborar os relatórios semestrais acerca da implementação do decreto 7724</t>
  </si>
  <si>
    <t xml:space="preserve">Relatório semestral de gestão da ouvidoria</t>
  </si>
  <si>
    <t xml:space="preserve">4.28</t>
  </si>
  <si>
    <t xml:space="preserve">Emitir sugestões à Gestão da Unila acerca do Plano de integridade </t>
  </si>
  <si>
    <t xml:space="preserve">Memorando de sugestões</t>
  </si>
  <si>
    <t xml:space="preserve">4.32</t>
  </si>
  <si>
    <t xml:space="preserve">Emitir sugestões quanto a plubicização do PDA</t>
  </si>
  <si>
    <t xml:space="preserve">Relatório semestral de gestão de ouvidoria</t>
  </si>
  <si>
    <t xml:space="preserve">4.33</t>
  </si>
  <si>
    <t xml:space="preserve">Avaliar se a gestão atende aos 49 itens de transparência ativa da CGU</t>
  </si>
  <si>
    <t xml:space="preserve">Check list de avaliação feito e encaminhado ao GR no memorando eletrônico nº 229/2020 da Ouvidoria</t>
  </si>
  <si>
    <t xml:space="preserve">PDI 14.2</t>
  </si>
  <si>
    <t xml:space="preserve">Participar de capacitação dos servidores quanto a metodologia de mapeamento de processos utilizada na UNILA</t>
  </si>
  <si>
    <t xml:space="preserve">Não</t>
  </si>
  <si>
    <t xml:space="preserve">Participação no evento</t>
  </si>
  <si>
    <t xml:space="preserve">1. Sem previsão</t>
  </si>
  <si>
    <t xml:space="preserve">4. Concluído</t>
  </si>
  <si>
    <t xml:space="preserve">Servidor responsável por mapear e elaborar os fluxos foi capacitado pela PROPLAN</t>
  </si>
  <si>
    <t xml:space="preserve">Mapear os processos das manifestações de ouvidoria</t>
  </si>
  <si>
    <t xml:space="preserve">anotações dos procedimentos</t>
  </si>
  <si>
    <t xml:space="preserve">Elaborar os fluxogramas das manifestações de ouvidoria</t>
  </si>
  <si>
    <t xml:space="preserve">arquivos elaborados no camunda</t>
  </si>
  <si>
    <t xml:space="preserve">Encaminhar os fluxogramas das manifestações de ouvidoria para apreciação da proplan</t>
  </si>
  <si>
    <t xml:space="preserve">e-mails de envio</t>
  </si>
  <si>
    <t xml:space="preserve">Realizar as adequações nos fluxogramas após apreciação da PROPLAN</t>
  </si>
  <si>
    <t xml:space="preserve">Arquivos do camunda alterados</t>
  </si>
  <si>
    <t xml:space="preserve">3. Em andamento</t>
  </si>
  <si>
    <t xml:space="preserve">Devido a necessidade de atender demandas emergentes por conta do covid19, a finalização da ação tem tardado um pouco.</t>
  </si>
  <si>
    <t xml:space="preserve">Encaminhar os fluxogramas das manifestações de ouvidoria para homologação por parte da PROPLAN</t>
  </si>
  <si>
    <t xml:space="preserve">2. Não iniciada</t>
  </si>
  <si>
    <t xml:space="preserve">Publicar os fluxogramas dos procesos de recebimento e tratamento das manifestações de ouvidoria</t>
  </si>
  <si>
    <t xml:space="preserve">fluxogramas disponíveis no site da unila na aba da ouvidoria</t>
  </si>
  <si>
    <t xml:space="preserve">PG 4.9</t>
  </si>
  <si>
    <t xml:space="preserve">Elaborar minuta do regimento</t>
  </si>
  <si>
    <t xml:space="preserve">minuta do regimento</t>
  </si>
  <si>
    <t xml:space="preserve">Encaminhar minuta para presidente do consun (Reitor)</t>
  </si>
  <si>
    <t xml:space="preserve">memorando de encaminhamento</t>
  </si>
  <si>
    <t xml:space="preserve">Participar de reunião do consun para defender minuta em pauta</t>
  </si>
  <si>
    <t xml:space="preserve">Ata da Reunião</t>
  </si>
  <si>
    <t xml:space="preserve">aguardando presidente do consun pautar a minuta para apreciação do conselho</t>
  </si>
  <si>
    <t xml:space="preserve">Realizar as adequações solicitadas pelo consun</t>
  </si>
  <si>
    <t xml:space="preserve">Publicação da Resolução de aprovação do regimento</t>
  </si>
  <si>
    <t xml:space="preserve">publicar e divulgar novo Regimento da ouvidoria</t>
  </si>
  <si>
    <t xml:space="preserve">documento disponível no site da Unila</t>
  </si>
  <si>
    <t xml:space="preserve">PG 4.22</t>
  </si>
  <si>
    <t xml:space="preserve">Elaborar ferramenta de registro e controle das sugestões de melhorias emitidas pela Ouvidoria às unidades administrativas da Unila</t>
  </si>
  <si>
    <t xml:space="preserve">planilha de registro e controle no google docs</t>
  </si>
  <si>
    <t xml:space="preserve">planilha em uso </t>
  </si>
  <si>
    <t xml:space="preserve">Elaborar no Relatório de gestão da Ouvidoria o status das sugestões emitidas às unidades adminsitrativas da Unila</t>
  </si>
  <si>
    <t xml:space="preserve">Relatório semestral de gestão da Ouvidoria</t>
  </si>
  <si>
    <t xml:space="preserve">Publicar Relatório de gestão da Ouvidoria</t>
  </si>
  <si>
    <t xml:space="preserve">Relatório semestral de gestão da Ouvidoria disponível no site da Unila</t>
  </si>
  <si>
    <t xml:space="preserve">PG 4.7</t>
  </si>
  <si>
    <t xml:space="preserve">Registrar na ferramenta de registro e controle das sugestão de melhorias sempre que essa for emitida</t>
  </si>
  <si>
    <t xml:space="preserve">Planilha com novo registro</t>
  </si>
  <si>
    <t xml:space="preserve">sugestões são emitidas sempre que observada uma oportunidade de melhoria quando das tratativas das manifestações de ouvidoria dos cidadãos.</t>
  </si>
  <si>
    <t xml:space="preserve">PDI 2.2</t>
  </si>
  <si>
    <t xml:space="preserve">Publicizar no site da unila os fluxogramas dos macroprocessos de ouvidoria</t>
  </si>
  <si>
    <t xml:space="preserve">fluxogramas dos macroporcesos de ouvidoira plubicizados no site da unila</t>
  </si>
  <si>
    <t xml:space="preserve">PDI 2.3</t>
  </si>
  <si>
    <t xml:space="preserve">Servidor da Ouvidoria participar de capacitação sobre mapeamento, avaliação e elaboração de processos</t>
  </si>
  <si>
    <t xml:space="preserve">1 servidor com certificado</t>
  </si>
  <si>
    <t xml:space="preserve">PDI 4.2</t>
  </si>
  <si>
    <t xml:space="preserve">Emitir relatório da avaliação da CGU acerca do cumprimento ou não dos itens de transparência ativa</t>
  </si>
  <si>
    <t xml:space="preserve">Relatório de avaliação</t>
  </si>
  <si>
    <t xml:space="preserve">Sugerir à gestão da Unila alterações no site de modo a que os itens avaliados como negativos sejam publicizados</t>
  </si>
  <si>
    <t xml:space="preserve">Encaminhamento do relatório à gestão</t>
  </si>
  <si>
    <t xml:space="preserve">relatório encaminhado no memorando ouvidoria nº 229 de 2020</t>
  </si>
  <si>
    <t xml:space="preserve">Emitir no FalaBr alterações realizados no site da Unila submetendo para nova avaliação da cgu</t>
  </si>
  <si>
    <t xml:space="preserve">itens sumetidos à nova análise da CGU</t>
  </si>
  <si>
    <t xml:space="preserve">PDI 5.1</t>
  </si>
  <si>
    <t xml:space="preserve">Participar de capacitação acerca dos conselhos de usuários</t>
  </si>
  <si>
    <t xml:space="preserve">certificado emitido</t>
  </si>
  <si>
    <t xml:space="preserve">Considerando que os ouvidores da gestão 2018/2020 não se candidatarão para tentar a reeleição e com isso uma possível recondução, os novos gestores precisam se capacitar</t>
  </si>
  <si>
    <t xml:space="preserve">sugere-se que se capacitem ainda no primeiro bimestre de 2021</t>
  </si>
  <si>
    <t xml:space="preserve">PG 1.1</t>
  </si>
  <si>
    <t xml:space="preserve">Participar de reunião junto à gestão sensibilizando quando a necessidade de engajar a comunidade para participar do conselho de usuários</t>
  </si>
  <si>
    <t xml:space="preserve">ata de reunião</t>
  </si>
  <si>
    <t xml:space="preserve">PG 4.6</t>
  </si>
  <si>
    <t xml:space="preserve">Avaliar a implementação do Decreto 7724</t>
  </si>
  <si>
    <t xml:space="preserve">check list de avaliação</t>
  </si>
  <si>
    <t xml:space="preserve">check list feito com observação no D7724</t>
  </si>
  <si>
    <t xml:space="preserve">Emitir sugestões de melhorias à gestão da Unila quanto a implementação do decreto 7724</t>
  </si>
  <si>
    <t xml:space="preserve">inserir no relatório de gestão da ouvidoria o status das sugestões emitidas à gestão</t>
  </si>
  <si>
    <t xml:space="preserve">Relatório semestral de gestão</t>
  </si>
  <si>
    <t xml:space="preserve">PG 4.28</t>
  </si>
  <si>
    <t xml:space="preserve">Participar de reunião com a gestão da Unila acerca do Plano de integridade</t>
  </si>
  <si>
    <t xml:space="preserve">Ata de Reunião</t>
  </si>
  <si>
    <t xml:space="preserve">reunião realizada em 05 de agosto de 2020 via RNP no modo remoto</t>
  </si>
  <si>
    <t xml:space="preserve">Analisar o Plano de integridade encaminhado pela gestão da Unila</t>
  </si>
  <si>
    <t xml:space="preserve">Rascunho de análises</t>
  </si>
  <si>
    <t xml:space="preserve">Emitir sugestões acerca do plano</t>
  </si>
  <si>
    <t xml:space="preserve">Memorando emitido à gestão</t>
  </si>
  <si>
    <t xml:space="preserve">memorando enviado em 14/08 (nº 205/2020 - OUvidoria)</t>
  </si>
  <si>
    <t xml:space="preserve">PG 4.32</t>
  </si>
  <si>
    <t xml:space="preserve">Analisar se a gestão publicizou PDA no site</t>
  </si>
  <si>
    <t xml:space="preserve">check list de análises</t>
  </si>
  <si>
    <t xml:space="preserve">Analisar se o PDA atende a legislação</t>
  </si>
  <si>
    <t xml:space="preserve">Emitir sugestões à gestão acerca das análise acima</t>
  </si>
  <si>
    <t xml:space="preserve">memorando à gestão</t>
  </si>
  <si>
    <t xml:space="preserve">enviado e-mail ao gabinete tendo tido retorno que a CGU aprovou o PDA.</t>
  </si>
  <si>
    <t xml:space="preserve">PG 4.33</t>
  </si>
  <si>
    <t xml:space="preserve">Elaborar check list de avaliação dos itens</t>
  </si>
  <si>
    <t xml:space="preserve">check list </t>
  </si>
  <si>
    <t xml:space="preserve">Realizar a avaliação dos itens no check list</t>
  </si>
  <si>
    <t xml:space="preserve">check listado</t>
  </si>
  <si>
    <t xml:space="preserve">Emitir relatório do check-list à Gestão</t>
  </si>
  <si>
    <t xml:space="preserve">memorando enviado à gestão</t>
  </si>
  <si>
    <t xml:space="preserve">memorando enviado (nº 229/2/2020 - Ouvidoria)</t>
  </si>
  <si>
    <t xml:space="preserve">Alimentar sistema FalaBr acerca dos itens não atendidos</t>
  </si>
  <si>
    <t xml:space="preserve">sistema prenchido</t>
  </si>
  <si>
    <t xml:space="preserve">Sugerir revisão e, se necessário, atulização da carta de serviços</t>
  </si>
  <si>
    <t xml:space="preserve">emitir memorando da sugestão</t>
  </si>
  <si>
    <t xml:space="preserve">Memorando 220/2020 - ouvidoria enviado com resposta da Reitoria de que a carta de serviços foi atualizada no site</t>
  </si>
  <si>
    <t xml:space="preserve">revisar os macropocessos de manifestações de ouvidoria</t>
  </si>
  <si>
    <t xml:space="preserve">check list e revisão</t>
  </si>
  <si>
    <t xml:space="preserve">avaliar necessidades de alteração nos macroprocessos de manifestações de ouvidoria</t>
  </si>
  <si>
    <t xml:space="preserve">parecer de análise</t>
  </si>
  <si>
    <t xml:space="preserve">alterar, se necessário os macroprocesoss de manifestações de ouvidoria</t>
  </si>
  <si>
    <t xml:space="preserve">fluxogramas alterados</t>
  </si>
  <si>
    <t xml:space="preserve">publicizar os macroprocessos alterados de manifestações de ouvidoria</t>
  </si>
  <si>
    <t xml:space="preserve">fluxogramas publicizados no site da unila</t>
  </si>
  <si>
    <t xml:space="preserve">Elaborar questionários de pesquisa dos conselhos de usuários</t>
  </si>
  <si>
    <t xml:space="preserve">questionário</t>
  </si>
  <si>
    <t xml:space="preserve">aplicar pesquisa de satisfação</t>
  </si>
  <si>
    <t xml:space="preserve">pesquisa enviada</t>
  </si>
  <si>
    <t xml:space="preserve">tratar os dados</t>
  </si>
  <si>
    <t xml:space="preserve">dados compilados</t>
  </si>
  <si>
    <t xml:space="preserve">elaborar relatório da pesquisa</t>
  </si>
  <si>
    <t xml:space="preserve">Relatório</t>
  </si>
  <si>
    <t xml:space="preserve">publicizar relatório</t>
  </si>
  <si>
    <t xml:space="preserve">disponibilização no site</t>
  </si>
  <si>
    <t xml:space="preserve">Publicizar no site da Unila os conceitos sobre conselho de usuários</t>
  </si>
  <si>
    <t xml:space="preserve">matéria públicada</t>
  </si>
  <si>
    <t xml:space="preserve">publicizar no meios de comunicação da unila a chamada para pariticpar dos conselhos de usuários</t>
  </si>
  <si>
    <t xml:space="preserve">matérias publicadas</t>
  </si>
  <si>
    <t xml:space="preserve">instituir o conselho de usuários</t>
  </si>
  <si>
    <t xml:space="preserve">documento oficial com relação dos nomes</t>
  </si>
  <si>
    <t xml:space="preserve">publiciar documento da Unila com a relação dos conselheiros</t>
  </si>
  <si>
    <t xml:space="preserve">documento disponibilizado no site da unila</t>
  </si>
  <si>
    <t xml:space="preserve">considerando que o Ouvidor e vice de 2020 não irão se candidatar a reeleição (para possível recondução) os novos gestores necessitam realizar a capacitação</t>
  </si>
  <si>
    <t xml:space="preserve">buscar realizar a capacitação no primeiro bimestre.</t>
  </si>
  <si>
    <t xml:space="preserve">Revisar os macropocessos de manifestações de ouvidoria</t>
  </si>
  <si>
    <t xml:space="preserve">Avaliar necessidades de alteração nos macroprocessos de manifestações de ouvidoria</t>
  </si>
  <si>
    <t xml:space="preserve">Alterar, se necessário os macroprocesoss de manifestações de ouvidoria</t>
  </si>
  <si>
    <t xml:space="preserve">Publicizar os macroprocessos alterados de manifestações de ouvidoria</t>
  </si>
  <si>
    <t xml:space="preserve">Não se aplica</t>
  </si>
  <si>
    <t xml:space="preserve">Avalie como está o progresso de cada meta:</t>
  </si>
  <si>
    <t xml:space="preserve">Orçamento</t>
  </si>
  <si>
    <t xml:space="preserve">Situaçao das Entregas</t>
  </si>
  <si>
    <t xml:space="preserve">Em andamento</t>
  </si>
  <si>
    <t xml:space="preserve">Não iniciado</t>
  </si>
  <si>
    <t xml:space="preserve">Sim</t>
  </si>
  <si>
    <t xml:space="preserve">Sem previsão</t>
  </si>
  <si>
    <t xml:space="preserve">1.2</t>
  </si>
  <si>
    <t xml:space="preserve">Concluída</t>
  </si>
  <si>
    <t xml:space="preserve">Atingimos menos da metade desta meta</t>
  </si>
  <si>
    <t xml:space="preserve">Não iniciada</t>
  </si>
  <si>
    <t xml:space="preserve">1.3</t>
  </si>
  <si>
    <t xml:space="preserve">Atingimos a metade desta meta</t>
  </si>
  <si>
    <t xml:space="preserve">1.4</t>
  </si>
  <si>
    <t xml:space="preserve">Atingimos mais da metade desta meta</t>
  </si>
  <si>
    <t xml:space="preserve">Concluído</t>
  </si>
  <si>
    <t xml:space="preserve">2.1</t>
  </si>
  <si>
    <t xml:space="preserve">Atingimos a totalidade desta meta</t>
  </si>
  <si>
    <t xml:space="preserve">2.4</t>
  </si>
  <si>
    <t xml:space="preserve">2.5</t>
  </si>
  <si>
    <t xml:space="preserve">Responsável</t>
  </si>
  <si>
    <t xml:space="preserve">2.6</t>
  </si>
  <si>
    <t xml:space="preserve">Corresponsável</t>
  </si>
  <si>
    <t xml:space="preserve">2.7</t>
  </si>
  <si>
    <t xml:space="preserve">2.8</t>
  </si>
  <si>
    <t xml:space="preserve">2.9</t>
  </si>
  <si>
    <t xml:space="preserve">X</t>
  </si>
  <si>
    <t xml:space="preserve">2.10</t>
  </si>
  <si>
    <t xml:space="preserve">2.11</t>
  </si>
  <si>
    <t xml:space="preserve">2.12</t>
  </si>
  <si>
    <t xml:space="preserve">2.13</t>
  </si>
  <si>
    <t xml:space="preserve">2.14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</si>
  <si>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</si>
  <si>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</si>
  <si>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</si>
  <si>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</si>
  <si>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</si>
  <si>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</si>
  <si>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</si>
  <si>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</si>
  <si>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</si>
  <si>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</si>
  <si>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3.11</t>
  </si>
  <si>
    <t xml:space="preserve">3.12</t>
  </si>
  <si>
    <t xml:space="preserve">3.13</t>
  </si>
  <si>
    <t xml:space="preserve">3.14</t>
  </si>
  <si>
    <t xml:space="preserve">3.15</t>
  </si>
  <si>
    <t xml:space="preserve">3.16</t>
  </si>
  <si>
    <t xml:space="preserve">3.17</t>
  </si>
  <si>
    <t xml:space="preserve">3.18</t>
  </si>
  <si>
    <t xml:space="preserve">3.19</t>
  </si>
  <si>
    <t xml:space="preserve">3.20</t>
  </si>
  <si>
    <t xml:space="preserve">3.21</t>
  </si>
  <si>
    <t xml:space="preserve">3.22</t>
  </si>
  <si>
    <t xml:space="preserve">3.23</t>
  </si>
  <si>
    <t xml:space="preserve">3.24</t>
  </si>
  <si>
    <t xml:space="preserve">3.25</t>
  </si>
  <si>
    <t xml:space="preserve">3.26</t>
  </si>
  <si>
    <t xml:space="preserve">3.27</t>
  </si>
  <si>
    <t xml:space="preserve">3.28</t>
  </si>
  <si>
    <t xml:space="preserve">3.29</t>
  </si>
  <si>
    <t xml:space="preserve">3.30</t>
  </si>
  <si>
    <t xml:space="preserve">3.31</t>
  </si>
  <si>
    <t xml:space="preserve">3.32</t>
  </si>
  <si>
    <t xml:space="preserve">3.33</t>
  </si>
  <si>
    <t xml:space="preserve">3.34</t>
  </si>
  <si>
    <t xml:space="preserve">3.35</t>
  </si>
  <si>
    <t xml:space="preserve">3.36</t>
  </si>
  <si>
    <t xml:space="preserve">3.37</t>
  </si>
  <si>
    <t xml:space="preserve">3.38</t>
  </si>
  <si>
    <t xml:space="preserve">3.39</t>
  </si>
  <si>
    <t xml:space="preserve">3.40</t>
  </si>
  <si>
    <t xml:space="preserve">3.41</t>
  </si>
  <si>
    <t xml:space="preserve">3.42</t>
  </si>
  <si>
    <t xml:space="preserve">3.43</t>
  </si>
  <si>
    <t xml:space="preserve">3.44</t>
  </si>
  <si>
    <t xml:space="preserve">3.45</t>
  </si>
  <si>
    <t xml:space="preserve">3.46</t>
  </si>
  <si>
    <t xml:space="preserve">3.47</t>
  </si>
  <si>
    <t xml:space="preserve">3.48</t>
  </si>
  <si>
    <t xml:space="preserve">3.49</t>
  </si>
  <si>
    <t xml:space="preserve">3.50</t>
  </si>
  <si>
    <t xml:space="preserve">3.51</t>
  </si>
  <si>
    <t xml:space="preserve">3.52</t>
  </si>
  <si>
    <t xml:space="preserve">3.53</t>
  </si>
  <si>
    <t xml:space="preserve">3.54</t>
  </si>
  <si>
    <t xml:space="preserve">3.55</t>
  </si>
  <si>
    <t xml:space="preserve">3.56</t>
  </si>
  <si>
    <t xml:space="preserve">3.57</t>
  </si>
  <si>
    <t xml:space="preserve">3.58</t>
  </si>
  <si>
    <t xml:space="preserve">3.59</t>
  </si>
  <si>
    <t xml:space="preserve">3.60</t>
  </si>
  <si>
    <t xml:space="preserve">3.61</t>
  </si>
  <si>
    <t xml:space="preserve">3.62</t>
  </si>
  <si>
    <t xml:space="preserve">3.63</t>
  </si>
  <si>
    <t xml:space="preserve">3.64</t>
  </si>
  <si>
    <t xml:space="preserve">3.65</t>
  </si>
  <si>
    <t xml:space="preserve">3.66</t>
  </si>
  <si>
    <t xml:space="preserve">3.67</t>
  </si>
  <si>
    <t xml:space="preserve">3.68</t>
  </si>
  <si>
    <t xml:space="preserve">3.69</t>
  </si>
  <si>
    <t xml:space="preserve">3.70</t>
  </si>
  <si>
    <t xml:space="preserve">3.71</t>
  </si>
  <si>
    <t xml:space="preserve">3.72</t>
  </si>
  <si>
    <t xml:space="preserve">3.73</t>
  </si>
  <si>
    <t xml:space="preserve">3.74</t>
  </si>
  <si>
    <t xml:space="preserve">3.75</t>
  </si>
  <si>
    <t xml:space="preserve">3.76</t>
  </si>
  <si>
    <t xml:space="preserve">3.77</t>
  </si>
  <si>
    <t xml:space="preserve">3.78</t>
  </si>
  <si>
    <t xml:space="preserve">3.79</t>
  </si>
  <si>
    <t xml:space="preserve">3.80</t>
  </si>
  <si>
    <t xml:space="preserve">3.81</t>
  </si>
  <si>
    <t xml:space="preserve">3.82</t>
  </si>
  <si>
    <t xml:space="preserve">3.83</t>
  </si>
  <si>
    <t xml:space="preserve">3.84</t>
  </si>
  <si>
    <t xml:space="preserve">3.85</t>
  </si>
  <si>
    <t xml:space="preserve">3.86</t>
  </si>
  <si>
    <t xml:space="preserve">3.87</t>
  </si>
  <si>
    <t xml:space="preserve">3.88</t>
  </si>
  <si>
    <t xml:space="preserve">4.1</t>
  </si>
  <si>
    <t xml:space="preserve">4.3</t>
  </si>
  <si>
    <t xml:space="preserve">4.4</t>
  </si>
  <si>
    <t xml:space="preserve">4.5</t>
  </si>
  <si>
    <t xml:space="preserve">4.8</t>
  </si>
  <si>
    <t xml:space="preserve">4.10</t>
  </si>
  <si>
    <t xml:space="preserve">4.11</t>
  </si>
  <si>
    <t xml:space="preserve">4.12</t>
  </si>
  <si>
    <t xml:space="preserve">4.13</t>
  </si>
  <si>
    <t xml:space="preserve">4.14</t>
  </si>
  <si>
    <t xml:space="preserve">4.15</t>
  </si>
  <si>
    <t xml:space="preserve">4.16</t>
  </si>
  <si>
    <t xml:space="preserve">4.17</t>
  </si>
  <si>
    <t xml:space="preserve">4.18</t>
  </si>
  <si>
    <t xml:space="preserve">4.19</t>
  </si>
  <si>
    <t xml:space="preserve">4.20</t>
  </si>
  <si>
    <t xml:space="preserve">4.21</t>
  </si>
  <si>
    <t xml:space="preserve">4.23</t>
  </si>
  <si>
    <t xml:space="preserve">4.24</t>
  </si>
  <si>
    <t xml:space="preserve">4.25</t>
  </si>
  <si>
    <t xml:space="preserve">4.26</t>
  </si>
  <si>
    <t xml:space="preserve">4.27</t>
  </si>
  <si>
    <t xml:space="preserve">4.29</t>
  </si>
  <si>
    <t xml:space="preserve">4.30</t>
  </si>
  <si>
    <t xml:space="preserve">4.31</t>
  </si>
  <si>
    <t xml:space="preserve">4.34</t>
  </si>
  <si>
    <t xml:space="preserve">4.35</t>
  </si>
  <si>
    <t xml:space="preserve">4.36</t>
  </si>
  <si>
    <t xml:space="preserve">4.37</t>
  </si>
  <si>
    <t xml:space="preserve">4.38</t>
  </si>
  <si>
    <t xml:space="preserve">4.39</t>
  </si>
  <si>
    <t xml:space="preserve">4.40</t>
  </si>
  <si>
    <t xml:space="preserve">4.41</t>
  </si>
  <si>
    <t xml:space="preserve">4.42</t>
  </si>
  <si>
    <t xml:space="preserve">4.43</t>
  </si>
  <si>
    <t xml:space="preserve">4.44</t>
  </si>
  <si>
    <t xml:space="preserve">4.45</t>
  </si>
  <si>
    <t xml:space="preserve">4.46</t>
  </si>
  <si>
    <t xml:space="preserve">4.47</t>
  </si>
  <si>
    <t xml:space="preserve">4.48</t>
  </si>
  <si>
    <t xml:space="preserve">4.49</t>
  </si>
  <si>
    <t xml:space="preserve">4.50</t>
  </si>
  <si>
    <t xml:space="preserve">4.51</t>
  </si>
  <si>
    <t xml:space="preserve">4.52</t>
  </si>
  <si>
    <t xml:space="preserve">4.53</t>
  </si>
  <si>
    <t xml:space="preserve">4.54</t>
  </si>
  <si>
    <t xml:space="preserve">4.55</t>
  </si>
  <si>
    <t xml:space="preserve">4.56</t>
  </si>
  <si>
    <t xml:space="preserve">4.57</t>
  </si>
  <si>
    <t xml:space="preserve">4.58</t>
  </si>
  <si>
    <t xml:space="preserve">4.59</t>
  </si>
  <si>
    <t xml:space="preserve">4.60</t>
  </si>
  <si>
    <t xml:space="preserve">4.61</t>
  </si>
  <si>
    <t xml:space="preserve">4.62</t>
  </si>
  <si>
    <t xml:space="preserve">4.63</t>
  </si>
  <si>
    <t xml:space="preserve">4.64</t>
  </si>
  <si>
    <t xml:space="preserve">4.65</t>
  </si>
  <si>
    <t xml:space="preserve">4.66</t>
  </si>
  <si>
    <t xml:space="preserve">4.67</t>
  </si>
  <si>
    <t xml:space="preserve">4.68</t>
  </si>
  <si>
    <t xml:space="preserve">4.69</t>
  </si>
  <si>
    <t xml:space="preserve">4.70</t>
  </si>
  <si>
    <t xml:space="preserve">4.71</t>
  </si>
  <si>
    <t xml:space="preserve">4.72</t>
  </si>
  <si>
    <t xml:space="preserve">4.73</t>
  </si>
  <si>
    <t xml:space="preserve">4.74</t>
  </si>
  <si>
    <t xml:space="preserve">4.75</t>
  </si>
  <si>
    <t xml:space="preserve">4.76</t>
  </si>
  <si>
    <t xml:space="preserve">5.2</t>
  </si>
  <si>
    <t xml:space="preserve">5.3</t>
  </si>
  <si>
    <t xml:space="preserve">5.4</t>
  </si>
  <si>
    <t xml:space="preserve">5.5</t>
  </si>
  <si>
    <t xml:space="preserve">5.6</t>
  </si>
  <si>
    <t xml:space="preserve">5.7</t>
  </si>
  <si>
    <t xml:space="preserve">5.8</t>
  </si>
  <si>
    <t xml:space="preserve">5.9</t>
  </si>
  <si>
    <t xml:space="preserve">5.10</t>
  </si>
  <si>
    <t xml:space="preserve">5.11</t>
  </si>
  <si>
    <t xml:space="preserve">5.12</t>
  </si>
  <si>
    <t xml:space="preserve">5.13</t>
  </si>
  <si>
    <t xml:space="preserve">5.14</t>
  </si>
  <si>
    <t xml:space="preserve">5.15</t>
  </si>
  <si>
    <t xml:space="preserve">6.1</t>
  </si>
  <si>
    <t xml:space="preserve">6.2</t>
  </si>
  <si>
    <t xml:space="preserve">6.3</t>
  </si>
  <si>
    <t xml:space="preserve">6.4</t>
  </si>
  <si>
    <t xml:space="preserve">6.5</t>
  </si>
  <si>
    <t xml:space="preserve">7.1</t>
  </si>
  <si>
    <t xml:space="preserve">7.2</t>
  </si>
  <si>
    <t xml:space="preserve">7.3</t>
  </si>
  <si>
    <t xml:space="preserve">8.1</t>
  </si>
  <si>
    <t xml:space="preserve">8.2</t>
  </si>
  <si>
    <t xml:space="preserve">8.3</t>
  </si>
  <si>
    <t xml:space="preserve">9.1</t>
  </si>
  <si>
    <t xml:space="preserve">9.2</t>
  </si>
  <si>
    <t xml:space="preserve">9.3</t>
  </si>
  <si>
    <t xml:space="preserve">10.1</t>
  </si>
  <si>
    <t xml:space="preserve">10.2</t>
  </si>
  <si>
    <t xml:space="preserve">10.3</t>
  </si>
  <si>
    <t xml:space="preserve">11.1</t>
  </si>
  <si>
    <t xml:space="preserve">11.2</t>
  </si>
  <si>
    <t xml:space="preserve">11.3</t>
  </si>
  <si>
    <t xml:space="preserve">12.1</t>
  </si>
  <si>
    <t xml:space="preserve">12.2</t>
  </si>
  <si>
    <t xml:space="preserve">12.3</t>
  </si>
  <si>
    <t xml:space="preserve">12.4</t>
  </si>
  <si>
    <t xml:space="preserve">13.1</t>
  </si>
  <si>
    <t xml:space="preserve">13.2</t>
  </si>
  <si>
    <t xml:space="preserve">14.1</t>
  </si>
  <si>
    <t xml:space="preserve">14.3</t>
  </si>
  <si>
    <t xml:space="preserve">15.1</t>
  </si>
  <si>
    <t xml:space="preserve">15.2</t>
  </si>
  <si>
    <t xml:space="preserve">15.3</t>
  </si>
  <si>
    <t xml:space="preserve">15.4</t>
  </si>
  <si>
    <t xml:space="preserve">16.1</t>
  </si>
  <si>
    <t xml:space="preserve">16.2</t>
  </si>
  <si>
    <t xml:space="preserve">16.3</t>
  </si>
  <si>
    <t xml:space="preserve">16.4</t>
  </si>
  <si>
    <t xml:space="preserve">17.1</t>
  </si>
  <si>
    <t xml:space="preserve">17.2</t>
  </si>
  <si>
    <t xml:space="preserve">17.3</t>
  </si>
  <si>
    <t xml:space="preserve">18.1</t>
  </si>
  <si>
    <t xml:space="preserve">18.2</t>
  </si>
  <si>
    <t xml:space="preserve">18.3</t>
  </si>
  <si>
    <t xml:space="preserve">18.4</t>
  </si>
  <si>
    <t xml:space="preserve">18.5</t>
  </si>
  <si>
    <t xml:space="preserve">19.1</t>
  </si>
  <si>
    <t xml:space="preserve">19.2</t>
  </si>
  <si>
    <t xml:space="preserve">20.1</t>
  </si>
  <si>
    <t xml:space="preserve">20.2</t>
  </si>
  <si>
    <t xml:space="preserve">20.3</t>
  </si>
  <si>
    <t xml:space="preserve">21.1</t>
  </si>
  <si>
    <t xml:space="preserve">21.2</t>
  </si>
  <si>
    <t xml:space="preserve">21.3</t>
  </si>
  <si>
    <t xml:space="preserve">21.4</t>
  </si>
  <si>
    <t xml:space="preserve">22.1</t>
  </si>
  <si>
    <t xml:space="preserve">22.2</t>
  </si>
  <si>
    <t xml:space="preserve">22.3</t>
  </si>
  <si>
    <t xml:space="preserve">22.4</t>
  </si>
  <si>
    <t xml:space="preserve">23.1</t>
  </si>
  <si>
    <t xml:space="preserve">23.2</t>
  </si>
  <si>
    <t xml:space="preserve">23.3</t>
  </si>
  <si>
    <t xml:space="preserve">24.1</t>
  </si>
  <si>
    <t xml:space="preserve">24.2</t>
  </si>
  <si>
    <t xml:space="preserve">24.3</t>
  </si>
  <si>
    <t xml:space="preserve">24.4</t>
  </si>
  <si>
    <t xml:space="preserve">24.5</t>
  </si>
  <si>
    <t xml:space="preserve">24.6</t>
  </si>
  <si>
    <t xml:space="preserve">24.7</t>
  </si>
  <si>
    <t xml:space="preserve">25.1</t>
  </si>
  <si>
    <t xml:space="preserve">25.2</t>
  </si>
  <si>
    <t xml:space="preserve">25.3</t>
  </si>
  <si>
    <t xml:space="preserve">25.4</t>
  </si>
  <si>
    <t xml:space="preserve">26.1</t>
  </si>
  <si>
    <t xml:space="preserve">26.2</t>
  </si>
  <si>
    <t xml:space="preserve">26.3</t>
  </si>
  <si>
    <t xml:space="preserve">26.4</t>
  </si>
  <si>
    <t xml:space="preserve">27.1</t>
  </si>
  <si>
    <t xml:space="preserve">27.2</t>
  </si>
  <si>
    <t xml:space="preserve">27.3</t>
  </si>
  <si>
    <t xml:space="preserve">27.4</t>
  </si>
  <si>
    <t xml:space="preserve">28.1</t>
  </si>
  <si>
    <t xml:space="preserve">28.2</t>
  </si>
  <si>
    <t xml:space="preserve">28.3</t>
  </si>
  <si>
    <t xml:space="preserve">28.4</t>
  </si>
  <si>
    <t xml:space="preserve">28.5</t>
  </si>
  <si>
    <t xml:space="preserve">28.6</t>
  </si>
  <si>
    <t xml:space="preserve">29.1</t>
  </si>
  <si>
    <t xml:space="preserve">29.2</t>
  </si>
  <si>
    <t xml:space="preserve">29.3</t>
  </si>
  <si>
    <t xml:space="preserve">29.4</t>
  </si>
  <si>
    <t xml:space="preserve">30.1</t>
  </si>
  <si>
    <t xml:space="preserve">30.2</t>
  </si>
  <si>
    <t xml:space="preserve">30.3</t>
  </si>
  <si>
    <t xml:space="preserve">30.4</t>
  </si>
  <si>
    <t xml:space="preserve">31.1</t>
  </si>
  <si>
    <t xml:space="preserve">31.2</t>
  </si>
  <si>
    <t xml:space="preserve">31.3</t>
  </si>
  <si>
    <t xml:space="preserve">31.4</t>
  </si>
  <si>
    <t xml:space="preserve">32.1</t>
  </si>
  <si>
    <t xml:space="preserve">32.2</t>
  </si>
  <si>
    <t xml:space="preserve">32.3</t>
  </si>
  <si>
    <t xml:space="preserve">32.4</t>
  </si>
  <si>
    <t xml:space="preserve">32.5</t>
  </si>
  <si>
    <t xml:space="preserve">33.1</t>
  </si>
  <si>
    <t xml:space="preserve">33.2</t>
  </si>
  <si>
    <t xml:space="preserve">33.3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</si>
</sst>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@"/>
    <numFmt numFmtId="167" formatCode="_(&quot;R$&quot;* #,##0.00_);_(&quot;R$&quot;* \(#,##0.00\);_(&quot;R$&quot;* \-??_);_(@_)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Freesans"/>
      <family val="0"/>
      <charset val="1"/>
    </font>
    <font>
      <sz val="8"/>
      <color rgb="FF000000"/>
      <name val="Freesans"/>
      <family val="0"/>
      <charset val="1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8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8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hair">
        <color rgb="FFFFFFFF"/>
      </right>
      <top style="hair"/>
      <bottom style="thin"/>
      <diagonal/>
    </border>
    <border diagonalUp="false" diagonalDown="false">
      <left style="hair">
        <color rgb="FFFFFFFF"/>
      </left>
      <right style="hair">
        <color rgb="FFFFFFFF"/>
      </right>
      <top style="hair"/>
      <bottom style="thin"/>
      <diagonal/>
    </border>
    <border diagonalUp="false" diagonalDown="false">
      <left style="hair">
        <color rgb="FFFFFFFF"/>
      </left>
      <right style="hair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>
        <color rgb="FFFFFFFF"/>
      </right>
      <top/>
      <bottom style="hair"/>
      <diagonal/>
    </border>
    <border diagonalUp="false" diagonalDown="false">
      <left style="hair">
        <color rgb="FFFFFFFF"/>
      </left>
      <right style="hair">
        <color rgb="FFFFFFFF"/>
      </right>
      <top/>
      <bottom style="hair"/>
      <diagonal/>
    </border>
    <border diagonalUp="false" diagonalDown="false">
      <left style="hair">
        <color rgb="FFFFFFFF"/>
      </left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/>
      <top/>
      <bottom/>
      <diagonal/>
    </border>
    <border diagonalUp="false" diagonalDown="false">
      <left style="hair"/>
      <right style="thin">
        <color rgb="FFFFFFFF"/>
      </right>
      <top style="hair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hair"/>
      <bottom style="hair"/>
      <diagonal/>
    </border>
    <border diagonalUp="false" diagonalDown="false">
      <left style="thin">
        <color rgb="FFFFFFFF"/>
      </left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hair"/>
      <right style="thin">
        <color rgb="FFFFFFFF"/>
      </right>
      <top style="hair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hair"/>
      <bottom style="thin"/>
      <diagonal/>
    </border>
    <border diagonalUp="false" diagonalDown="false">
      <left style="thin">
        <color rgb="FFFFFFFF"/>
      </left>
      <right style="hair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2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6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8.13"/>
    <col collapsed="false" customWidth="true" hidden="false" outlineLevel="0" max="2" min="2" style="0" width="8"/>
    <col collapsed="false" customWidth="true" hidden="true" outlineLevel="0" max="3" min="3" style="0" width="52.63"/>
    <col collapsed="false" customWidth="true" hidden="false" outlineLevel="0" max="4" min="4" style="0" width="52.63"/>
    <col collapsed="false" customWidth="true" hidden="false" outlineLevel="0" max="6" min="5" style="0" width="15.13"/>
    <col collapsed="false" customWidth="true" hidden="false" outlineLevel="0" max="10" min="7" style="0" width="3.63"/>
    <col collapsed="false" customWidth="true" hidden="false" outlineLevel="0" max="11" min="11" style="0" width="37.62"/>
    <col collapsed="false" customWidth="true" hidden="false" outlineLevel="0" max="12" min="12" style="0" width="8"/>
    <col collapsed="false" customWidth="true" hidden="false" outlineLevel="0" max="16" min="13" style="0" width="27.63"/>
    <col collapsed="false" customWidth="true" hidden="true" outlineLevel="0" max="28" min="17" style="0" width="27.63"/>
    <col collapsed="false" customWidth="true" hidden="false" outlineLevel="0" max="29" min="29" style="0" width="37.62"/>
    <col collapsed="false" customWidth="true" hidden="false" outlineLevel="0" max="30" min="30" style="0" width="23"/>
    <col collapsed="false" customWidth="true" hidden="false" outlineLevel="0" max="31" min="31" style="0" width="20.62"/>
    <col collapsed="false" customWidth="true" hidden="false" outlineLevel="0" max="32" min="32" style="0" width="68.63"/>
    <col collapsed="false" customWidth="true" hidden="false" outlineLevel="0" max="35" min="33" style="0" width="13.13"/>
    <col collapsed="false" customWidth="true" hidden="false" outlineLevel="0" max="36" min="36" style="0" width="9"/>
    <col collapsed="false" customWidth="true" hidden="false" outlineLevel="0" max="41" min="37" style="0" width="8.63"/>
  </cols>
  <sheetData>
    <row r="1" customFormat="false" ht="13.5" hidden="false" customHeight="true" outlineLevel="0" collapsed="false">
      <c r="A1" s="1" t="str">
        <f aca="false">IFERROR(__xludf.dummyfunction("IMPORTRANGE(""1NZaPiVqFzCwlmUq8LagadmqPKSiT9llb2c3OuwvzV-4"",""PDU 2020-2023!A1"")"),"Plano de Desenvolvimento da Unidade - PDU 2020-2023")</f>
        <v>Plano de Desenvolvimento da Unidade - PDU 2020-2023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customFormat="false" ht="14.25" hidden="false" customHeight="true" outlineLevel="0" collapsed="false">
      <c r="A2" s="3" t="str">
        <f aca="false">IFERROR(__xludf.dummyfunction("IMPORTRANGE(""1NZaPiVqFzCwlmUq8LagadmqPKSiT9llb2c3OuwvzV-4"",""PDU 2020-2023!A2"")"),"Vinculação PDI/PG")</f>
        <v>Vinculação PDI/PG</v>
      </c>
      <c r="B2" s="4" t="str">
        <f aca="false">IFERROR(__xludf.dummyfunction("IMPORTRANGE(""1NZaPiVqFzCwlmUq8LagadmqPKSiT9llb2c3OuwvzV-4"",""PDU 2020-2023!B2"")"),"Nº de Referência")</f>
        <v>Nº de Referência</v>
      </c>
      <c r="C2" s="5" t="str">
        <f aca="false">IFERROR(__xludf.dummyfunction("IMPORTRANGE(""1NZaPiVqFzCwlmUq8LagadmqPKSiT9llb2c3OuwvzV-4"",""PDU 2020-2023!c2"")"),"Código para Ação")</f>
        <v>Código para Ação</v>
      </c>
      <c r="D2" s="5" t="str">
        <f aca="false">IFERROR(__xludf.dummyfunction("IMPORTRANGE(""1NZaPiVqFzCwlmUq8LagadmqPKSiT9llb2c3OuwvzV-4"",""PDU 2020-2023!d2"")"),"Diretriz do PDI ou Objetivo do PG")</f>
        <v>Diretriz do PDI ou Objetivo do PG</v>
      </c>
      <c r="E2" s="6" t="str">
        <f aca="false">IFERROR(__xludf.dummyfunction("IMPORTRANGE(""1NZaPiVqFzCwlmUq8LagadmqPKSiT9llb2c3OuwvzV-4"",""PDU 2020-2023!E2"")"),"Atuação")</f>
        <v>Atuação</v>
      </c>
      <c r="F2" s="7" t="str">
        <f aca="false">IFERROR(__xludf.dummyfunction("IMPORTRANGE(""1NZaPiVqFzCwlmUq8LagadmqPKSiT9llb2c3OuwvzV-4"",""PDU 2020-2023!F2"")"),"Unidade Executora")</f>
        <v>Unidade Executora</v>
      </c>
      <c r="G2" s="8" t="str">
        <f aca="false">IFERROR(__xludf.dummyfunction("IMPORTRANGE(""1NZaPiVqFzCwlmUq8LagadmqPKSiT9llb2c3OuwvzV-4"",""PDU 2020-2023!g2"")"),"Cronograma")</f>
        <v>Cronograma</v>
      </c>
      <c r="H2" s="8"/>
      <c r="I2" s="8"/>
      <c r="J2" s="8"/>
      <c r="K2" s="9" t="str">
        <f aca="false">IFERROR(__xludf.dummyfunction("IMPORTRANGE(""1NZaPiVqFzCwlmUq8LagadmqPKSiT9llb2c3OuwvzV-4"",""PDU 2020-2023!k2"")"),"Meta")</f>
        <v>Meta</v>
      </c>
      <c r="L2" s="10" t="str">
        <f aca="false">IFERROR(__xludf.dummyfunction("IMPORTRANGE(""1NZaPiVqFzCwlmUq8LagadmqPKSiT9llb2c3OuwvzV-4"",""PDU 2020-2023!l2"")"),"Correlação PDI/PG")</f>
        <v>Correlação PDI/PG</v>
      </c>
      <c r="M2" s="11" t="str">
        <f aca="false">IFERROR(__xludf.dummyfunction("IMPORTRANGE(""1NZaPiVqFzCwlmUq8LagadmqPKSiT9llb2c3OuwvzV-4"",""PDU 2020-2023!m2"")"),"Avalie o progresso de cada meta de acordo com o trimestre de 2020:")</f>
        <v>Avalie o progresso de cada meta de acordo com o trimestre de 2020:</v>
      </c>
      <c r="N2" s="11"/>
      <c r="O2" s="11"/>
      <c r="P2" s="11"/>
      <c r="Q2" s="11" t="str">
        <f aca="false">IFERROR(__xludf.dummyfunction("IMPORTRANGE(""1NZaPiVqFzCwlmUq8LagadmqPKSiT9llb2c3OuwvzV-4"",""PDU 2020-2023!q2"")"),"Avalie o progresso de cada meta de acordo com o trimestre de 2021:")</f>
        <v>Avalie o progresso de cada meta de acordo com o trimestre de 2021:</v>
      </c>
      <c r="R2" s="11"/>
      <c r="S2" s="11"/>
      <c r="T2" s="11"/>
      <c r="U2" s="11" t="str">
        <f aca="false">IFERROR(__xludf.dummyfunction("IMPORTRANGE(""1NZaPiVqFzCwlmUq8LagadmqPKSiT9llb2c3OuwvzV-4"",""PDU 2020-2023!u2"")"),"Avalie o progresso de cada meta de acordo com o trimestre de 2022:")</f>
        <v>Avalie o progresso de cada meta de acordo com o trimestre de 2022:</v>
      </c>
      <c r="V2" s="11"/>
      <c r="W2" s="11"/>
      <c r="X2" s="11"/>
      <c r="Y2" s="11" t="str">
        <f aca="false">IFERROR(__xludf.dummyfunction("IMPORTRANGE(""1NZaPiVqFzCwlmUq8LagadmqPKSiT9llb2c3OuwvzV-4"",""PDU 2020-2023!y2"")"),"Avalie o progresso de cada meta de acordo com o trimestre de 2023:")</f>
        <v>Avalie o progresso de cada meta de acordo com o trimestre de 2023:</v>
      </c>
      <c r="Z2" s="11"/>
      <c r="AA2" s="11"/>
      <c r="AB2" s="11"/>
      <c r="AC2" s="12" t="str">
        <f aca="false">IFERROR(__xludf.dummyfunction("IMPORTRANGE(""1NZaPiVqFzCwlmUq8LagadmqPKSiT9llb2c3OuwvzV-4"",""PDU 2020-2023!ac2"")"),"Materialidade")</f>
        <v>Materialidade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customFormat="false" ht="11.25" hidden="false" customHeight="true" outlineLevel="0" collapsed="false">
      <c r="A3" s="3"/>
      <c r="B3" s="4"/>
      <c r="C3" s="5"/>
      <c r="D3" s="5"/>
      <c r="E3" s="5"/>
      <c r="F3" s="7"/>
      <c r="G3" s="13" t="n">
        <f aca="false">IFERROR(__xludf.dummyfunction("IMPORTRANGE(""1NZaPiVqFzCwlmUq8LagadmqPKSiT9llb2c3OuwvzV-4"",""PDU 2020-2023!g3"")"),2020)</f>
        <v>2020</v>
      </c>
      <c r="H3" s="14" t="n">
        <f aca="false">IFERROR(__xludf.dummyfunction("IMPORTRANGE(""1NZaPiVqFzCwlmUq8LagadmqPKSiT9llb2c3OuwvzV-4"",""PDU 2020-2023!h3"")"),2021)</f>
        <v>2021</v>
      </c>
      <c r="I3" s="14" t="n">
        <f aca="false">IFERROR(__xludf.dummyfunction("IMPORTRANGE(""1NZaPiVqFzCwlmUq8LagadmqPKSiT9llb2c3OuwvzV-4"",""PDU 2020-2023!i3"")"),2022)</f>
        <v>2022</v>
      </c>
      <c r="J3" s="15" t="n">
        <f aca="false">IFERROR(__xludf.dummyfunction("IMPORTRANGE(""1NZaPiVqFzCwlmUq8LagadmqPKSiT9llb2c3OuwvzV-4"",""PDU 2020-2023!j3"")"),2023)</f>
        <v>2023</v>
      </c>
      <c r="K3" s="9"/>
      <c r="L3" s="10"/>
      <c r="M3" s="16" t="str">
        <f aca="false">IFERROR(__xludf.dummyfunction("IMPORTRANGE(""1NZaPiVqFzCwlmUq8LagadmqPKSiT9llb2c3OuwvzV-4"",""PDU 2020-2023!m3"")"),"1º Trimestre")</f>
        <v>1º Trimestre</v>
      </c>
      <c r="N3" s="17" t="str">
        <f aca="false">IFERROR(__xludf.dummyfunction("IMPORTRANGE(""1NZaPiVqFzCwlmUq8LagadmqPKSiT9llb2c3OuwvzV-4"",""PDU 2020-2023!n3"")"),"2º Trimestre")</f>
        <v>2º Trimestre</v>
      </c>
      <c r="O3" s="17" t="str">
        <f aca="false">IFERROR(__xludf.dummyfunction("IMPORTRANGE(""1NZaPiVqFzCwlmUq8LagadmqPKSiT9llb2c3OuwvzV-4"",""PDU 2020-2023!o3"")"),"3º Trimestre")</f>
        <v>3º Trimestre</v>
      </c>
      <c r="P3" s="18" t="str">
        <f aca="false">IFERROR(__xludf.dummyfunction("IMPORTRANGE(""1NZaPiVqFzCwlmUq8LagadmqPKSiT9llb2c3OuwvzV-4"",""PDU 2020-2023!p3"")"),"4º Trimestre")</f>
        <v>4º Trimestre</v>
      </c>
      <c r="Q3" s="16" t="str">
        <f aca="false">IFERROR(__xludf.dummyfunction("IMPORTRANGE(""1NZaPiVqFzCwlmUq8LagadmqPKSiT9llb2c3OuwvzV-4"",""PDU 2020-2023!q3"")"),"1º Trimestre")</f>
        <v>1º Trimestre</v>
      </c>
      <c r="R3" s="17" t="str">
        <f aca="false">IFERROR(__xludf.dummyfunction("IMPORTRANGE(""1NZaPiVqFzCwlmUq8LagadmqPKSiT9llb2c3OuwvzV-4"",""PDU 2020-2023!r3"")"),"2º Trimestre")</f>
        <v>2º Trimestre</v>
      </c>
      <c r="S3" s="17" t="str">
        <f aca="false">IFERROR(__xludf.dummyfunction("IMPORTRANGE(""1NZaPiVqFzCwlmUq8LagadmqPKSiT9llb2c3OuwvzV-4"",""PDU 2020-2023!s3"")"),"3º Trimestre")</f>
        <v>3º Trimestre</v>
      </c>
      <c r="T3" s="18" t="str">
        <f aca="false">IFERROR(__xludf.dummyfunction("IMPORTRANGE(""1NZaPiVqFzCwlmUq8LagadmqPKSiT9llb2c3OuwvzV-4"",""PDU 2020-2023!t3"")"),"4º Trimestre")</f>
        <v>4º Trimestre</v>
      </c>
      <c r="U3" s="16" t="str">
        <f aca="false">IFERROR(__xludf.dummyfunction("IMPORTRANGE(""1NZaPiVqFzCwlmUq8LagadmqPKSiT9llb2c3OuwvzV-4"",""PDU 2020-2023!u3"")"),"1º Trimestre")</f>
        <v>1º Trimestre</v>
      </c>
      <c r="V3" s="17" t="str">
        <f aca="false">IFERROR(__xludf.dummyfunction("IMPORTRANGE(""1NZaPiVqFzCwlmUq8LagadmqPKSiT9llb2c3OuwvzV-4"",""PDU 2020-2023!v3"")"),"2º Trimestre")</f>
        <v>2º Trimestre</v>
      </c>
      <c r="W3" s="17" t="str">
        <f aca="false">IFERROR(__xludf.dummyfunction("IMPORTRANGE(""1NZaPiVqFzCwlmUq8LagadmqPKSiT9llb2c3OuwvzV-4"",""PDU 2020-2023!w3"")"),"3º Trimestre")</f>
        <v>3º Trimestre</v>
      </c>
      <c r="X3" s="18" t="str">
        <f aca="false">IFERROR(__xludf.dummyfunction("IMPORTRANGE(""1NZaPiVqFzCwlmUq8LagadmqPKSiT9llb2c3OuwvzV-4"",""PDU 2020-2023!x3"")"),"4º Trimestre")</f>
        <v>4º Trimestre</v>
      </c>
      <c r="Y3" s="16" t="str">
        <f aca="false">IFERROR(__xludf.dummyfunction("IMPORTRANGE(""1NZaPiVqFzCwlmUq8LagadmqPKSiT9llb2c3OuwvzV-4"",""PDU 2020-2023!y3"")"),"1º Trimestre")</f>
        <v>1º Trimestre</v>
      </c>
      <c r="Z3" s="17" t="str">
        <f aca="false">IFERROR(__xludf.dummyfunction("IMPORTRANGE(""1NZaPiVqFzCwlmUq8LagadmqPKSiT9llb2c3OuwvzV-4"",""PDU 2020-2023!z3"")"),"2º Trimestre")</f>
        <v>2º Trimestre</v>
      </c>
      <c r="AA3" s="17" t="str">
        <f aca="false">IFERROR(__xludf.dummyfunction("IMPORTRANGE(""1NZaPiVqFzCwlmUq8LagadmqPKSiT9llb2c3OuwvzV-4"",""PDU 2020-2023!aa3"")"),"3º Trimestre")</f>
        <v>3º Trimestre</v>
      </c>
      <c r="AB3" s="18" t="str">
        <f aca="false">IFERROR(__xludf.dummyfunction("IMPORTRANGE(""1NZaPiVqFzCwlmUq8LagadmqPKSiT9llb2c3OuwvzV-4"",""PDU 2020-2023!ab3"")"),"4º Trimestre")</f>
        <v>4º Trimestre</v>
      </c>
      <c r="AC3" s="1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customFormat="false" ht="27.75" hidden="false" customHeight="true" outlineLevel="0" collapsed="false">
      <c r="A4" s="19" t="s">
        <v>0</v>
      </c>
      <c r="B4" s="20" t="s">
        <v>1</v>
      </c>
      <c r="C4" s="21" t="str">
        <f aca="false">CONCATENATE(A4," ",B4)</f>
        <v>PDI 14.2</v>
      </c>
      <c r="D4" s="21" t="str">
        <f aca="false">IF(A4&lt;&gt;"", IFERROR(IF(A4="PG",VLOOKUP(B4,'Obj PG'!$A$1:$D$197,4,0),VLOOKUP(B4,'Obj PDI'!$A$1:$B$127,2,0)), "Objetivo não encontrado, verifique o número de referência."),"Selecione a opção de vinculação ao PDI ou PG.")</f>
        <v>Normatizar e Publicizar fluxos e procedimentos que permitam a denúncia, a visibilidade e o tratamento de episódios diretamente ligados às questões de gênero, diversidade, assédio ou qualquer outra forma de violência e/ou preconceito.</v>
      </c>
      <c r="E4" s="22" t="s">
        <v>2</v>
      </c>
      <c r="F4" s="23" t="s">
        <v>3</v>
      </c>
      <c r="G4" s="24" t="s">
        <v>4</v>
      </c>
      <c r="H4" s="25"/>
      <c r="I4" s="26"/>
      <c r="J4" s="27"/>
      <c r="K4" s="28" t="s">
        <v>5</v>
      </c>
      <c r="L4" s="20" t="s">
        <v>6</v>
      </c>
      <c r="M4" s="29" t="s">
        <v>7</v>
      </c>
      <c r="N4" s="29" t="s">
        <v>7</v>
      </c>
      <c r="O4" s="29" t="s">
        <v>7</v>
      </c>
      <c r="P4" s="29"/>
      <c r="Q4" s="29"/>
      <c r="R4" s="29"/>
      <c r="S4" s="29"/>
      <c r="T4" s="29"/>
      <c r="U4" s="29"/>
      <c r="V4" s="29"/>
      <c r="W4" s="29"/>
      <c r="X4" s="29"/>
      <c r="Y4" s="30" t="s">
        <v>8</v>
      </c>
      <c r="Z4" s="31"/>
      <c r="AA4" s="31"/>
      <c r="AB4" s="22"/>
      <c r="AC4" s="32" t="s">
        <v>9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customFormat="false" ht="27.75" hidden="false" customHeight="true" outlineLevel="0" collapsed="false">
      <c r="A5" s="34" t="s">
        <v>10</v>
      </c>
      <c r="B5" s="20" t="s">
        <v>6</v>
      </c>
      <c r="C5" s="21" t="str">
        <f aca="false">CONCATENATE(A5," ",B5)</f>
        <v>PG 4.9</v>
      </c>
      <c r="D5" s="21" t="str">
        <f aca="false">IF(A5&lt;&gt;"", IFERROR(IF(A5="PG",VLOOKUP(B5,'Obj PG'!$A$1:$D$197,4,0),VLOOKUP(B5,'Obj PDI'!$A$1:$B$127,2,0)), "Objetivo não encontrado, verifique o número de referência."),"Selecione a opção de vinculação ao PDI ou PG.")</f>
        <v>Institucionalizar fluxo único de entrada de manifestações, fortalecendo a interlocução entre Ouvidoria, Serviço de Informação ao Cidadão, Comissão de Ética e Corregedoria Seccional;</v>
      </c>
      <c r="E5" s="22" t="s">
        <v>2</v>
      </c>
      <c r="F5" s="35" t="s">
        <v>11</v>
      </c>
      <c r="G5" s="24" t="s">
        <v>4</v>
      </c>
      <c r="H5" s="25"/>
      <c r="I5" s="26"/>
      <c r="J5" s="27"/>
      <c r="K5" s="36" t="s">
        <v>12</v>
      </c>
      <c r="L5" s="20" t="s">
        <v>1</v>
      </c>
      <c r="M5" s="29" t="s">
        <v>7</v>
      </c>
      <c r="N5" s="29" t="s">
        <v>7</v>
      </c>
      <c r="O5" s="29" t="s">
        <v>7</v>
      </c>
      <c r="P5" s="29"/>
      <c r="Q5" s="37"/>
      <c r="R5" s="37"/>
      <c r="S5" s="37"/>
      <c r="T5" s="37"/>
      <c r="U5" s="37"/>
      <c r="V5" s="37"/>
      <c r="W5" s="37"/>
      <c r="X5" s="37"/>
      <c r="Y5" s="38"/>
      <c r="Z5" s="39"/>
      <c r="AA5" s="39"/>
      <c r="AB5" s="40"/>
      <c r="AC5" s="41" t="s">
        <v>13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customFormat="false" ht="27.75" hidden="false" customHeight="true" outlineLevel="0" collapsed="false">
      <c r="A6" s="34" t="s">
        <v>10</v>
      </c>
      <c r="B6" s="20" t="s">
        <v>14</v>
      </c>
      <c r="C6" s="21" t="str">
        <f aca="false">CONCATENATE(A6," ",B6)</f>
        <v>PG 4.22</v>
      </c>
      <c r="D6" s="21" t="str">
        <f aca="false">IF(A6&lt;&gt;"", IFERROR(IF(A6="PG",VLOOKUP(B6,'Obj PG'!$A$1:$D$197,4,0),VLOOKUP(B6,'Obj PDI'!$A$1:$B$127,2,0)), "Objetivo não encontrado, verifique o número de referência."),"Selecione a opção de vinculação ao PDI ou PG.")</f>
        <v>Estabelecer mecanismos de controle, acompanhamento e resolução de problemas persistentes registrados em relatórios da Ouvidoria;</v>
      </c>
      <c r="E6" s="22" t="s">
        <v>15</v>
      </c>
      <c r="F6" s="35" t="s">
        <v>16</v>
      </c>
      <c r="G6" s="24" t="s">
        <v>4</v>
      </c>
      <c r="H6" s="25" t="s">
        <v>4</v>
      </c>
      <c r="I6" s="26" t="s">
        <v>4</v>
      </c>
      <c r="J6" s="27" t="s">
        <v>4</v>
      </c>
      <c r="K6" s="42" t="s">
        <v>17</v>
      </c>
      <c r="L6" s="20" t="s">
        <v>18</v>
      </c>
      <c r="M6" s="29" t="s">
        <v>7</v>
      </c>
      <c r="N6" s="29" t="s">
        <v>7</v>
      </c>
      <c r="O6" s="29" t="s">
        <v>7</v>
      </c>
      <c r="P6" s="37"/>
      <c r="Q6" s="37"/>
      <c r="R6" s="37"/>
      <c r="S6" s="37"/>
      <c r="T6" s="37"/>
      <c r="U6" s="37"/>
      <c r="V6" s="37"/>
      <c r="W6" s="37"/>
      <c r="X6" s="37"/>
      <c r="Y6" s="38"/>
      <c r="Z6" s="39"/>
      <c r="AA6" s="39"/>
      <c r="AB6" s="40"/>
      <c r="AC6" s="43" t="s">
        <v>19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customFormat="false" ht="27.75" hidden="false" customHeight="true" outlineLevel="0" collapsed="false">
      <c r="A7" s="34" t="s">
        <v>10</v>
      </c>
      <c r="B7" s="20" t="s">
        <v>20</v>
      </c>
      <c r="C7" s="21" t="str">
        <f aca="false">CONCATENATE(A7," ",B7)</f>
        <v>PG 4.7</v>
      </c>
      <c r="D7" s="21" t="str">
        <f aca="false">IF(A7&lt;&gt;"", IFERROR(IF(A7="PG",VLOOKUP(B7,'Obj PG'!$A$1:$D$197,4,0),VLOOKUP(B7,'Obj PDI'!$A$1:$B$127,2,0)), "Objetivo não encontrado, verifique o número de referência."),"Selecione a opção de vinculação ao PDI ou PG.")</f>
        <v>Revisar e consolidar rotinas, processos administrativos e atos oficiais, realizando, quando necessário, adequações no Sistema Integrado de Gestão, de forma a favorecer a transparência, otimizar os recursos e aprimorar os fluxos de trabalho;</v>
      </c>
      <c r="E7" s="22" t="s">
        <v>15</v>
      </c>
      <c r="F7" s="35" t="s">
        <v>21</v>
      </c>
      <c r="G7" s="24" t="s">
        <v>4</v>
      </c>
      <c r="H7" s="25" t="s">
        <v>4</v>
      </c>
      <c r="I7" s="26" t="s">
        <v>4</v>
      </c>
      <c r="J7" s="27" t="s">
        <v>4</v>
      </c>
      <c r="K7" s="36" t="s">
        <v>22</v>
      </c>
      <c r="L7" s="20" t="s">
        <v>18</v>
      </c>
      <c r="M7" s="29" t="s">
        <v>7</v>
      </c>
      <c r="N7" s="29" t="s">
        <v>7</v>
      </c>
      <c r="O7" s="29" t="s">
        <v>7</v>
      </c>
      <c r="P7" s="29"/>
      <c r="Q7" s="37"/>
      <c r="R7" s="37"/>
      <c r="S7" s="37"/>
      <c r="T7" s="37"/>
      <c r="U7" s="37"/>
      <c r="V7" s="37"/>
      <c r="W7" s="37"/>
      <c r="X7" s="37"/>
      <c r="Y7" s="38"/>
      <c r="Z7" s="39"/>
      <c r="AA7" s="39"/>
      <c r="AB7" s="40"/>
      <c r="AC7" s="43" t="s">
        <v>19</v>
      </c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customFormat="false" ht="27.75" hidden="false" customHeight="true" outlineLevel="0" collapsed="false">
      <c r="A8" s="34" t="s">
        <v>0</v>
      </c>
      <c r="B8" s="20" t="s">
        <v>23</v>
      </c>
      <c r="C8" s="21" t="str">
        <f aca="false">CONCATENATE(A8," ",B8)</f>
        <v>PDI 2.2</v>
      </c>
      <c r="D8" s="21" t="str">
        <f aca="false">IF(A8&lt;&gt;"", IFERROR(IF(A8="PG",VLOOKUP(B8,'Obj PG'!$A$1:$D$197,4,0),VLOOKUP(B8,'Obj PDI'!$A$1:$B$127,2,0)), "Objetivo não encontrado, verifique o número de referência."),"Selecione a opção de vinculação ao PDI ou PG.")</f>
        <v>Realizar mapeamento, avaliação e melhoria contínua dos processos;</v>
      </c>
      <c r="E8" s="22" t="s">
        <v>15</v>
      </c>
      <c r="F8" s="35" t="s">
        <v>21</v>
      </c>
      <c r="G8" s="24" t="s">
        <v>4</v>
      </c>
      <c r="H8" s="25" t="s">
        <v>4</v>
      </c>
      <c r="I8" s="26" t="s">
        <v>4</v>
      </c>
      <c r="J8" s="27" t="s">
        <v>4</v>
      </c>
      <c r="K8" s="36" t="s">
        <v>24</v>
      </c>
      <c r="L8" s="20" t="s">
        <v>1</v>
      </c>
      <c r="M8" s="29" t="s">
        <v>7</v>
      </c>
      <c r="N8" s="29" t="s">
        <v>7</v>
      </c>
      <c r="O8" s="29" t="s">
        <v>7</v>
      </c>
      <c r="P8" s="37"/>
      <c r="Q8" s="37"/>
      <c r="R8" s="37"/>
      <c r="S8" s="37"/>
      <c r="T8" s="37"/>
      <c r="U8" s="37"/>
      <c r="V8" s="37"/>
      <c r="W8" s="37"/>
      <c r="X8" s="37"/>
      <c r="Y8" s="38"/>
      <c r="Z8" s="39"/>
      <c r="AA8" s="39"/>
      <c r="AB8" s="40"/>
      <c r="AC8" s="45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customFormat="false" ht="27.75" hidden="false" customHeight="true" outlineLevel="0" collapsed="false">
      <c r="A9" s="34" t="s">
        <v>0</v>
      </c>
      <c r="B9" s="20" t="s">
        <v>25</v>
      </c>
      <c r="C9" s="21" t="str">
        <f aca="false">CONCATENATE(A9," ",B9)</f>
        <v>PDI 2.3</v>
      </c>
      <c r="D9" s="21" t="str">
        <f aca="false">IF(A9&lt;&gt;"", IFERROR(IF(A9="PG",VLOOKUP(B9,'Obj PG'!$A$1:$D$197,4,0),VLOOKUP(B9,'Obj PDI'!$A$1:$B$127,2,0)), "Objetivo não encontrado, verifique o número de referência."),"Selecione a opção de vinculação ao PDI ou PG.")</f>
        <v>Capacitar servidores para atuar na gestão por processos.</v>
      </c>
      <c r="E9" s="22" t="s">
        <v>15</v>
      </c>
      <c r="F9" s="35" t="s">
        <v>26</v>
      </c>
      <c r="G9" s="24" t="s">
        <v>4</v>
      </c>
      <c r="H9" s="25" t="s">
        <v>4</v>
      </c>
      <c r="I9" s="26" t="s">
        <v>4</v>
      </c>
      <c r="J9" s="27"/>
      <c r="K9" s="36" t="s">
        <v>27</v>
      </c>
      <c r="L9" s="20" t="s">
        <v>18</v>
      </c>
      <c r="M9" s="29" t="s">
        <v>28</v>
      </c>
      <c r="N9" s="29" t="s">
        <v>28</v>
      </c>
      <c r="O9" s="29" t="s">
        <v>28</v>
      </c>
      <c r="P9" s="29"/>
      <c r="Q9" s="37"/>
      <c r="R9" s="37"/>
      <c r="S9" s="37"/>
      <c r="T9" s="37"/>
      <c r="U9" s="37"/>
      <c r="V9" s="37"/>
      <c r="W9" s="37"/>
      <c r="X9" s="37"/>
      <c r="Y9" s="38"/>
      <c r="Z9" s="39"/>
      <c r="AA9" s="39"/>
      <c r="AB9" s="40"/>
      <c r="AC9" s="41" t="s">
        <v>29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customFormat="false" ht="27.75" hidden="false" customHeight="true" outlineLevel="0" collapsed="false">
      <c r="A10" s="34" t="s">
        <v>0</v>
      </c>
      <c r="B10" s="20" t="s">
        <v>30</v>
      </c>
      <c r="C10" s="21" t="str">
        <f aca="false">CONCATENATE(A10," ",B10)</f>
        <v>PDI 4.2</v>
      </c>
      <c r="D10" s="21" t="str">
        <f aca="false">IF(A10&lt;&gt;"", IFERROR(IF(A10="PG",VLOOKUP(B10,'Obj PG'!$A$1:$D$197,4,0),VLOOKUP(B10,'Obj PDI'!$A$1:$B$127,2,0)), "Objetivo não encontrado, verifique o número de referência."),"Selecione a opção de vinculação ao PDI ou PG.")</f>
        <v>Instituir a política de governança contemplando controles internos, gestão de riscos, integridade e transparência;</v>
      </c>
      <c r="E10" s="22" t="s">
        <v>15</v>
      </c>
      <c r="F10" s="35" t="s">
        <v>3</v>
      </c>
      <c r="G10" s="24" t="s">
        <v>4</v>
      </c>
      <c r="H10" s="25"/>
      <c r="I10" s="26"/>
      <c r="J10" s="27"/>
      <c r="K10" s="36" t="s">
        <v>31</v>
      </c>
      <c r="L10" s="20" t="s">
        <v>18</v>
      </c>
      <c r="M10" s="29" t="s">
        <v>32</v>
      </c>
      <c r="N10" s="29" t="s">
        <v>32</v>
      </c>
      <c r="O10" s="29" t="s">
        <v>7</v>
      </c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9"/>
      <c r="AA10" s="39"/>
      <c r="AB10" s="40"/>
      <c r="AC10" s="41" t="s">
        <v>33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customFormat="false" ht="27.75" hidden="false" customHeight="true" outlineLevel="0" collapsed="false">
      <c r="A11" s="34" t="s">
        <v>0</v>
      </c>
      <c r="B11" s="20" t="s">
        <v>34</v>
      </c>
      <c r="C11" s="21" t="str">
        <f aca="false">CONCATENATE(A11," ",B11)</f>
        <v>PDI 5.1</v>
      </c>
      <c r="D11" s="21" t="str">
        <f aca="false">IF(A11&lt;&gt;"", IFERROR(IF(A11="PG",VLOOKUP(B11,'Obj PG'!$A$1:$D$197,4,0),VLOOKUP(B11,'Obj PDI'!$A$1:$B$127,2,0)), "Objetivo não encontrado, verifique o número de referência."),"Selecione a opção de vinculação ao PDI ou PG.")</f>
        <v>Fomentar a cultura de autoavaliação institucional pela comunidade acadêmica e ampliar a participação da comunidade externa nos processos avaliativos institucionais.</v>
      </c>
      <c r="E11" s="22" t="s">
        <v>2</v>
      </c>
      <c r="F11" s="35" t="s">
        <v>21</v>
      </c>
      <c r="G11" s="24" t="s">
        <v>4</v>
      </c>
      <c r="H11" s="25" t="s">
        <v>4</v>
      </c>
      <c r="I11" s="26"/>
      <c r="J11" s="27"/>
      <c r="K11" s="36" t="s">
        <v>35</v>
      </c>
      <c r="L11" s="20" t="s">
        <v>36</v>
      </c>
      <c r="M11" s="29" t="s">
        <v>32</v>
      </c>
      <c r="N11" s="29" t="s">
        <v>32</v>
      </c>
      <c r="O11" s="29" t="s">
        <v>32</v>
      </c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39"/>
      <c r="AA11" s="39"/>
      <c r="AB11" s="40"/>
      <c r="AC11" s="41" t="s">
        <v>37</v>
      </c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customFormat="false" ht="27.75" hidden="false" customHeight="true" outlineLevel="0" collapsed="false">
      <c r="A12" s="34" t="s">
        <v>10</v>
      </c>
      <c r="B12" s="20" t="s">
        <v>36</v>
      </c>
      <c r="C12" s="21" t="str">
        <f aca="false">CONCATENATE(A12," ",B12)</f>
        <v>PG 1.1</v>
      </c>
      <c r="D12" s="21" t="str">
        <f aca="false">IF(A12&lt;&gt;"", IFERROR(IF(A12="PG",VLOOKUP(B12,'Obj PG'!$A$1:$D$197,4,0),VLOOKUP(B12,'Obj PDI'!$A$1:$B$127,2,0)), "Objetivo não encontrado, verifique o número de referência."),"Selecione a opção de vinculação ao PDI ou PG.")</f>
        <v>Elaborar e implementar mecanismos para acompanhamento dos processos de avaliação interna e externa à UNILA e seus resultados relativos à graduação, à pós-graduação, à pesquisa, à extensão e à gestão;</v>
      </c>
      <c r="E12" s="22" t="s">
        <v>2</v>
      </c>
      <c r="F12" s="35" t="s">
        <v>21</v>
      </c>
      <c r="G12" s="24" t="s">
        <v>4</v>
      </c>
      <c r="H12" s="25" t="s">
        <v>4</v>
      </c>
      <c r="I12" s="26"/>
      <c r="J12" s="27"/>
      <c r="K12" s="36" t="s">
        <v>38</v>
      </c>
      <c r="L12" s="20" t="s">
        <v>34</v>
      </c>
      <c r="M12" s="29" t="s">
        <v>32</v>
      </c>
      <c r="N12" s="29" t="s">
        <v>32</v>
      </c>
      <c r="O12" s="29" t="s">
        <v>32</v>
      </c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9"/>
      <c r="AA12" s="39"/>
      <c r="AB12" s="40"/>
      <c r="AC12" s="41" t="s">
        <v>39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customFormat="false" ht="27.75" hidden="false" customHeight="true" outlineLevel="0" collapsed="false">
      <c r="A13" s="34" t="s">
        <v>10</v>
      </c>
      <c r="B13" s="20" t="s">
        <v>40</v>
      </c>
      <c r="C13" s="21" t="str">
        <f aca="false">CONCATENATE(A13," ",B13)</f>
        <v>PG 4.6</v>
      </c>
      <c r="D13" s="21" t="str">
        <f aca="false">IF(A13&lt;&gt;"", IFERROR(IF(A13="PG",VLOOKUP(B13,'Obj PG'!$A$1:$D$197,4,0),VLOOKUP(B13,'Obj PDI'!$A$1:$B$127,2,0)), "Objetivo não encontrado, verifique o número de referência."),"Selecione a opção de vinculação ao PDI ou PG.")</f>
        <v>Ampliar a transparência institucional em conformidade com a Lei de Acesso à Informação Pública;</v>
      </c>
      <c r="E13" s="22" t="s">
        <v>2</v>
      </c>
      <c r="F13" s="35" t="s">
        <v>21</v>
      </c>
      <c r="G13" s="24" t="s">
        <v>4</v>
      </c>
      <c r="H13" s="25" t="s">
        <v>4</v>
      </c>
      <c r="I13" s="26" t="s">
        <v>4</v>
      </c>
      <c r="J13" s="27" t="s">
        <v>4</v>
      </c>
      <c r="K13" s="36" t="s">
        <v>41</v>
      </c>
      <c r="L13" s="20" t="s">
        <v>14</v>
      </c>
      <c r="M13" s="29" t="s">
        <v>7</v>
      </c>
      <c r="N13" s="29" t="s">
        <v>7</v>
      </c>
      <c r="O13" s="29" t="s">
        <v>7</v>
      </c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39"/>
      <c r="AA13" s="39"/>
      <c r="AB13" s="40"/>
      <c r="AC13" s="41" t="s">
        <v>42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customFormat="false" ht="27.75" hidden="false" customHeight="true" outlineLevel="0" collapsed="false">
      <c r="A14" s="34" t="s">
        <v>10</v>
      </c>
      <c r="B14" s="20" t="s">
        <v>43</v>
      </c>
      <c r="C14" s="21" t="str">
        <f aca="false">CONCATENATE(A14," ",B14)</f>
        <v>PG 4.28</v>
      </c>
      <c r="D14" s="21" t="str">
        <f aca="false">IF(A14&lt;&gt;"", IFERROR(IF(A14="PG",VLOOKUP(B14,'Obj PG'!$A$1:$D$197,4,0),VLOOKUP(B14,'Obj PDI'!$A$1:$B$127,2,0)), "Objetivo não encontrado, verifique o número de referência."),"Selecione a opção de vinculação ao PDI ou PG.")</f>
        <v>Criar, aprovar e implementar a política de integridade da UNILA;</v>
      </c>
      <c r="E14" s="22" t="s">
        <v>15</v>
      </c>
      <c r="F14" s="35" t="s">
        <v>21</v>
      </c>
      <c r="G14" s="24" t="s">
        <v>4</v>
      </c>
      <c r="H14" s="25"/>
      <c r="I14" s="26"/>
      <c r="J14" s="27"/>
      <c r="K14" s="36" t="s">
        <v>44</v>
      </c>
      <c r="L14" s="20" t="s">
        <v>6</v>
      </c>
      <c r="M14" s="29" t="s">
        <v>32</v>
      </c>
      <c r="N14" s="29" t="s">
        <v>32</v>
      </c>
      <c r="O14" s="29" t="s">
        <v>8</v>
      </c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9"/>
      <c r="AA14" s="39"/>
      <c r="AB14" s="40"/>
      <c r="AC14" s="41" t="s">
        <v>45</v>
      </c>
      <c r="AD14" s="33"/>
      <c r="AE14" s="33"/>
      <c r="AF14" s="33"/>
      <c r="AG14" s="46"/>
      <c r="AH14" s="46"/>
      <c r="AI14" s="46"/>
      <c r="AJ14" s="33"/>
      <c r="AK14" s="33"/>
      <c r="AL14" s="33"/>
      <c r="AM14" s="33"/>
      <c r="AN14" s="33"/>
      <c r="AO14" s="33"/>
    </row>
    <row r="15" customFormat="false" ht="27.75" hidden="false" customHeight="true" outlineLevel="0" collapsed="false">
      <c r="A15" s="34" t="s">
        <v>10</v>
      </c>
      <c r="B15" s="20" t="s">
        <v>46</v>
      </c>
      <c r="C15" s="21" t="str">
        <f aca="false">CONCATENATE(A15," ",B15)</f>
        <v>PG 4.32</v>
      </c>
      <c r="D15" s="21" t="str">
        <f aca="false">IF(A15&lt;&gt;"", IFERROR(IF(A15="PG",VLOOKUP(B15,'Obj PG'!$A$1:$D$197,4,0),VLOOKUP(B15,'Obj PDI'!$A$1:$B$127,2,0)), "Objetivo não encontrado, verifique o número de referência."),"Selecione a opção de vinculação ao PDI ou PG.")</f>
        <v>Apoiar a publicação de dados abertos, fortalecendo a transparência ativa da Universidade;</v>
      </c>
      <c r="E15" s="22" t="s">
        <v>15</v>
      </c>
      <c r="F15" s="35" t="s">
        <v>21</v>
      </c>
      <c r="G15" s="24" t="s">
        <v>4</v>
      </c>
      <c r="H15" s="25"/>
      <c r="I15" s="26" t="s">
        <v>4</v>
      </c>
      <c r="J15" s="27"/>
      <c r="K15" s="36" t="s">
        <v>47</v>
      </c>
      <c r="L15" s="20" t="s">
        <v>40</v>
      </c>
      <c r="M15" s="29" t="s">
        <v>8</v>
      </c>
      <c r="N15" s="29" t="s">
        <v>8</v>
      </c>
      <c r="O15" s="29" t="s">
        <v>8</v>
      </c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9"/>
      <c r="AA15" s="39"/>
      <c r="AB15" s="40"/>
      <c r="AC15" s="41" t="s">
        <v>48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customFormat="false" ht="27.75" hidden="false" customHeight="true" outlineLevel="0" collapsed="false">
      <c r="A16" s="34" t="s">
        <v>10</v>
      </c>
      <c r="B16" s="20" t="s">
        <v>49</v>
      </c>
      <c r="C16" s="21" t="str">
        <f aca="false">CONCATENATE(A16," ",B16)</f>
        <v>PG 4.33</v>
      </c>
      <c r="D16" s="21" t="str">
        <f aca="false">IF(A16&lt;&gt;"", IFERROR(IF(A16="PG",VLOOKUP(B16,'Obj PG'!$A$1:$D$197,4,0),VLOOKUP(B16,'Obj PDI'!$A$1:$B$127,2,0)), "Objetivo não encontrado, verifique o número de referência."),"Selecione a opção de vinculação ao PDI ou PG.")</f>
        <v>Efetuar modificações no portal eletrônico da UNILA, com vistas à maior visibilidade e transparência das ações de gestão.</v>
      </c>
      <c r="E16" s="22" t="s">
        <v>15</v>
      </c>
      <c r="F16" s="35" t="s">
        <v>21</v>
      </c>
      <c r="G16" s="24" t="s">
        <v>4</v>
      </c>
      <c r="H16" s="25" t="s">
        <v>4</v>
      </c>
      <c r="I16" s="26" t="s">
        <v>4</v>
      </c>
      <c r="J16" s="27" t="s">
        <v>4</v>
      </c>
      <c r="K16" s="36" t="s">
        <v>50</v>
      </c>
      <c r="L16" s="20" t="s">
        <v>30</v>
      </c>
      <c r="M16" s="29" t="s">
        <v>7</v>
      </c>
      <c r="N16" s="29" t="s">
        <v>7</v>
      </c>
      <c r="O16" s="29" t="s">
        <v>8</v>
      </c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9"/>
      <c r="AA16" s="39"/>
      <c r="AB16" s="40"/>
      <c r="AC16" s="41" t="s">
        <v>51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customFormat="false" ht="27.75" hidden="false" customHeight="true" outlineLevel="0" collapsed="false">
      <c r="A17" s="34"/>
      <c r="B17" s="20"/>
      <c r="C17" s="21"/>
      <c r="D17" s="21"/>
      <c r="E17" s="22"/>
      <c r="F17" s="47"/>
      <c r="G17" s="24"/>
      <c r="H17" s="25"/>
      <c r="I17" s="26"/>
      <c r="J17" s="27"/>
      <c r="K17" s="48"/>
      <c r="L17" s="2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39"/>
      <c r="AA17" s="39"/>
      <c r="AB17" s="40"/>
      <c r="AC17" s="45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customFormat="false" ht="27.75" hidden="false" customHeight="true" outlineLevel="0" collapsed="false">
      <c r="A18" s="34"/>
      <c r="B18" s="20"/>
      <c r="C18" s="21"/>
      <c r="D18" s="21"/>
      <c r="E18" s="22"/>
      <c r="F18" s="47"/>
      <c r="G18" s="24"/>
      <c r="H18" s="25"/>
      <c r="I18" s="26"/>
      <c r="J18" s="27"/>
      <c r="K18" s="48"/>
      <c r="L18" s="20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9"/>
      <c r="AA18" s="39"/>
      <c r="AB18" s="40"/>
      <c r="AC18" s="45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customFormat="false" ht="27.75" hidden="false" customHeight="true" outlineLevel="0" collapsed="false">
      <c r="A19" s="34"/>
      <c r="B19" s="20"/>
      <c r="C19" s="21"/>
      <c r="D19" s="21"/>
      <c r="E19" s="22"/>
      <c r="F19" s="47"/>
      <c r="G19" s="24"/>
      <c r="H19" s="25"/>
      <c r="I19" s="26"/>
      <c r="J19" s="27"/>
      <c r="K19" s="48"/>
      <c r="L19" s="20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9"/>
      <c r="AA19" s="39"/>
      <c r="AB19" s="40"/>
      <c r="AC19" s="45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customFormat="false" ht="27.75" hidden="false" customHeight="true" outlineLevel="0" collapsed="false">
      <c r="A20" s="34"/>
      <c r="B20" s="20"/>
      <c r="C20" s="21"/>
      <c r="D20" s="21"/>
      <c r="E20" s="22"/>
      <c r="F20" s="47"/>
      <c r="G20" s="24"/>
      <c r="H20" s="25"/>
      <c r="I20" s="26"/>
      <c r="J20" s="27"/>
      <c r="K20" s="48"/>
      <c r="L20" s="20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39"/>
      <c r="AA20" s="39"/>
      <c r="AB20" s="40"/>
      <c r="AC20" s="45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customFormat="false" ht="27.75" hidden="false" customHeight="true" outlineLevel="0" collapsed="false">
      <c r="A21" s="34"/>
      <c r="B21" s="20"/>
      <c r="C21" s="21"/>
      <c r="D21" s="21"/>
      <c r="E21" s="22"/>
      <c r="F21" s="47"/>
      <c r="G21" s="24"/>
      <c r="H21" s="25"/>
      <c r="I21" s="26"/>
      <c r="J21" s="27"/>
      <c r="K21" s="48"/>
      <c r="L21" s="2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9"/>
      <c r="AA21" s="39"/>
      <c r="AB21" s="40"/>
      <c r="AC21" s="45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customFormat="false" ht="27.75" hidden="false" customHeight="true" outlineLevel="0" collapsed="false">
      <c r="A22" s="34"/>
      <c r="B22" s="20"/>
      <c r="C22" s="21"/>
      <c r="D22" s="21"/>
      <c r="E22" s="22"/>
      <c r="F22" s="47"/>
      <c r="G22" s="24"/>
      <c r="H22" s="25"/>
      <c r="I22" s="26"/>
      <c r="J22" s="27"/>
      <c r="K22" s="48"/>
      <c r="L22" s="20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39"/>
      <c r="AA22" s="39"/>
      <c r="AB22" s="40"/>
      <c r="AC22" s="45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customFormat="false" ht="27.75" hidden="false" customHeight="true" outlineLevel="0" collapsed="false">
      <c r="A23" s="34"/>
      <c r="B23" s="20"/>
      <c r="C23" s="21"/>
      <c r="D23" s="21"/>
      <c r="E23" s="22"/>
      <c r="F23" s="47"/>
      <c r="G23" s="24"/>
      <c r="H23" s="25"/>
      <c r="I23" s="26"/>
      <c r="J23" s="27"/>
      <c r="K23" s="48"/>
      <c r="L23" s="20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  <c r="Z23" s="39"/>
      <c r="AA23" s="39"/>
      <c r="AB23" s="40"/>
      <c r="AC23" s="45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customFormat="false" ht="27.75" hidden="false" customHeight="true" outlineLevel="0" collapsed="false">
      <c r="A24" s="34"/>
      <c r="B24" s="20"/>
      <c r="C24" s="21"/>
      <c r="D24" s="21"/>
      <c r="E24" s="22"/>
      <c r="F24" s="47"/>
      <c r="G24" s="24"/>
      <c r="H24" s="25"/>
      <c r="I24" s="26"/>
      <c r="J24" s="27"/>
      <c r="K24" s="48"/>
      <c r="L24" s="20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9"/>
      <c r="AA24" s="39"/>
      <c r="AB24" s="40"/>
      <c r="AC24" s="45"/>
      <c r="AD24" s="33"/>
      <c r="AE24" s="33"/>
      <c r="AF24" s="33"/>
      <c r="AG24" s="33"/>
      <c r="AH24" s="33"/>
      <c r="AI24" s="33"/>
      <c r="AJ24" s="33"/>
      <c r="AK24" s="49"/>
      <c r="AL24" s="49"/>
      <c r="AM24" s="49"/>
      <c r="AN24" s="49"/>
      <c r="AO24" s="49"/>
    </row>
    <row r="25" customFormat="false" ht="27.75" hidden="false" customHeight="true" outlineLevel="0" collapsed="false">
      <c r="A25" s="34"/>
      <c r="B25" s="20"/>
      <c r="C25" s="21"/>
      <c r="D25" s="21"/>
      <c r="E25" s="22"/>
      <c r="F25" s="47"/>
      <c r="G25" s="24"/>
      <c r="H25" s="25"/>
      <c r="I25" s="26"/>
      <c r="J25" s="27"/>
      <c r="K25" s="48"/>
      <c r="L25" s="20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  <c r="Z25" s="39"/>
      <c r="AA25" s="39"/>
      <c r="AB25" s="40"/>
      <c r="AC25" s="45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customFormat="false" ht="27.75" hidden="false" customHeight="true" outlineLevel="0" collapsed="false">
      <c r="A26" s="34"/>
      <c r="B26" s="20"/>
      <c r="C26" s="21"/>
      <c r="D26" s="21"/>
      <c r="E26" s="22"/>
      <c r="F26" s="47"/>
      <c r="G26" s="24"/>
      <c r="H26" s="25"/>
      <c r="I26" s="26"/>
      <c r="J26" s="27"/>
      <c r="K26" s="48"/>
      <c r="L26" s="2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39"/>
      <c r="AA26" s="39"/>
      <c r="AB26" s="40"/>
      <c r="AC26" s="45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customFormat="false" ht="27.75" hidden="false" customHeight="true" outlineLevel="0" collapsed="false">
      <c r="A27" s="34"/>
      <c r="B27" s="20"/>
      <c r="C27" s="21"/>
      <c r="D27" s="21"/>
      <c r="E27" s="22"/>
      <c r="F27" s="47"/>
      <c r="G27" s="24"/>
      <c r="H27" s="25"/>
      <c r="I27" s="26"/>
      <c r="J27" s="27"/>
      <c r="K27" s="48"/>
      <c r="L27" s="20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  <c r="Z27" s="39"/>
      <c r="AA27" s="39"/>
      <c r="AB27" s="40"/>
      <c r="AC27" s="45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</row>
    <row r="28" customFormat="false" ht="27.75" hidden="false" customHeight="true" outlineLevel="0" collapsed="false">
      <c r="A28" s="34"/>
      <c r="B28" s="20"/>
      <c r="C28" s="21"/>
      <c r="D28" s="21"/>
      <c r="E28" s="22"/>
      <c r="F28" s="47"/>
      <c r="G28" s="24"/>
      <c r="H28" s="25"/>
      <c r="I28" s="26"/>
      <c r="J28" s="27"/>
      <c r="K28" s="48"/>
      <c r="L28" s="20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9"/>
      <c r="AA28" s="39"/>
      <c r="AB28" s="40"/>
      <c r="AC28" s="45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</row>
    <row r="29" customFormat="false" ht="27.75" hidden="false" customHeight="true" outlineLevel="0" collapsed="false">
      <c r="A29" s="34"/>
      <c r="B29" s="20"/>
      <c r="C29" s="21"/>
      <c r="D29" s="21"/>
      <c r="E29" s="22"/>
      <c r="F29" s="47"/>
      <c r="G29" s="24"/>
      <c r="H29" s="25"/>
      <c r="I29" s="26"/>
      <c r="J29" s="27"/>
      <c r="K29" s="48"/>
      <c r="L29" s="20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  <c r="Z29" s="39"/>
      <c r="AA29" s="39"/>
      <c r="AB29" s="40"/>
      <c r="AC29" s="45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customFormat="false" ht="27.75" hidden="false" customHeight="true" outlineLevel="0" collapsed="false">
      <c r="A30" s="34"/>
      <c r="B30" s="20"/>
      <c r="C30" s="21"/>
      <c r="D30" s="21"/>
      <c r="E30" s="22"/>
      <c r="F30" s="47"/>
      <c r="G30" s="24"/>
      <c r="H30" s="25"/>
      <c r="I30" s="26"/>
      <c r="J30" s="27"/>
      <c r="K30" s="48"/>
      <c r="L30" s="2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  <c r="Z30" s="39"/>
      <c r="AA30" s="39"/>
      <c r="AB30" s="40"/>
      <c r="AC30" s="45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</row>
    <row r="31" customFormat="false" ht="27.75" hidden="false" customHeight="true" outlineLevel="0" collapsed="false">
      <c r="A31" s="34"/>
      <c r="B31" s="20"/>
      <c r="C31" s="21"/>
      <c r="D31" s="21"/>
      <c r="E31" s="22"/>
      <c r="F31" s="47"/>
      <c r="G31" s="24"/>
      <c r="H31" s="25"/>
      <c r="I31" s="26"/>
      <c r="J31" s="27"/>
      <c r="K31" s="48"/>
      <c r="L31" s="20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9"/>
      <c r="AA31" s="39"/>
      <c r="AB31" s="40"/>
      <c r="AC31" s="45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</row>
    <row r="32" customFormat="false" ht="27.75" hidden="false" customHeight="true" outlineLevel="0" collapsed="false">
      <c r="A32" s="34"/>
      <c r="B32" s="20"/>
      <c r="C32" s="21"/>
      <c r="D32" s="21"/>
      <c r="E32" s="22"/>
      <c r="F32" s="47"/>
      <c r="G32" s="24"/>
      <c r="H32" s="25"/>
      <c r="I32" s="26"/>
      <c r="J32" s="27"/>
      <c r="K32" s="48"/>
      <c r="L32" s="2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  <c r="Z32" s="39"/>
      <c r="AA32" s="39"/>
      <c r="AB32" s="40"/>
      <c r="AC32" s="45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</row>
    <row r="33" customFormat="false" ht="27.75" hidden="false" customHeight="true" outlineLevel="0" collapsed="false">
      <c r="A33" s="34"/>
      <c r="B33" s="20"/>
      <c r="C33" s="21"/>
      <c r="D33" s="21"/>
      <c r="E33" s="22"/>
      <c r="F33" s="47"/>
      <c r="G33" s="24"/>
      <c r="H33" s="25"/>
      <c r="I33" s="26"/>
      <c r="J33" s="27"/>
      <c r="K33" s="48"/>
      <c r="L33" s="20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39"/>
      <c r="AA33" s="39"/>
      <c r="AB33" s="40"/>
      <c r="AC33" s="45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</row>
    <row r="34" customFormat="false" ht="27.75" hidden="false" customHeight="true" outlineLevel="0" collapsed="false">
      <c r="A34" s="34"/>
      <c r="B34" s="20"/>
      <c r="C34" s="21"/>
      <c r="D34" s="21"/>
      <c r="E34" s="22"/>
      <c r="F34" s="47"/>
      <c r="G34" s="24"/>
      <c r="H34" s="25"/>
      <c r="I34" s="26"/>
      <c r="J34" s="27"/>
      <c r="K34" s="48"/>
      <c r="L34" s="2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39"/>
      <c r="AA34" s="39"/>
      <c r="AB34" s="40"/>
      <c r="AC34" s="45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</row>
    <row r="35" customFormat="false" ht="27.75" hidden="false" customHeight="true" outlineLevel="0" collapsed="false">
      <c r="A35" s="50"/>
      <c r="B35" s="20"/>
      <c r="C35" s="21"/>
      <c r="D35" s="21"/>
      <c r="E35" s="22"/>
      <c r="F35" s="51"/>
      <c r="G35" s="24"/>
      <c r="H35" s="25"/>
      <c r="I35" s="26"/>
      <c r="J35" s="27"/>
      <c r="K35" s="52"/>
      <c r="L35" s="20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39"/>
      <c r="AA35" s="39"/>
      <c r="AB35" s="40"/>
      <c r="AC35" s="45"/>
      <c r="AD35" s="33"/>
      <c r="AE35" s="33"/>
      <c r="AF35" s="33"/>
      <c r="AG35" s="33"/>
      <c r="AH35" s="33"/>
      <c r="AI35" s="33"/>
      <c r="AJ35" s="33"/>
      <c r="AK35" s="33"/>
      <c r="AL35" s="49"/>
      <c r="AM35" s="49"/>
      <c r="AN35" s="49"/>
      <c r="AO35" s="49"/>
    </row>
    <row r="36" customFormat="false" ht="27.75" hidden="false" customHeight="true" outlineLevel="0" collapsed="false">
      <c r="A36" s="50"/>
      <c r="B36" s="20"/>
      <c r="C36" s="21"/>
      <c r="D36" s="21"/>
      <c r="E36" s="22"/>
      <c r="F36" s="51"/>
      <c r="G36" s="24"/>
      <c r="H36" s="25"/>
      <c r="I36" s="26"/>
      <c r="J36" s="27"/>
      <c r="K36" s="52"/>
      <c r="L36" s="20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Z36" s="39"/>
      <c r="AA36" s="39"/>
      <c r="AB36" s="40"/>
      <c r="AC36" s="45"/>
      <c r="AD36" s="33"/>
      <c r="AE36" s="33"/>
      <c r="AF36" s="33"/>
      <c r="AG36" s="33"/>
      <c r="AH36" s="33"/>
      <c r="AI36" s="33"/>
      <c r="AJ36" s="33"/>
      <c r="AK36" s="33"/>
      <c r="AL36" s="49"/>
      <c r="AM36" s="49"/>
      <c r="AN36" s="49"/>
      <c r="AO36" s="49"/>
    </row>
    <row r="37" customFormat="false" ht="27.75" hidden="false" customHeight="true" outlineLevel="0" collapsed="false">
      <c r="A37" s="50"/>
      <c r="B37" s="20"/>
      <c r="C37" s="21"/>
      <c r="D37" s="21"/>
      <c r="E37" s="22"/>
      <c r="F37" s="51"/>
      <c r="G37" s="24"/>
      <c r="H37" s="25"/>
      <c r="I37" s="26"/>
      <c r="J37" s="27"/>
      <c r="K37" s="52"/>
      <c r="L37" s="20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9"/>
      <c r="AA37" s="39"/>
      <c r="AB37" s="40"/>
      <c r="AC37" s="45"/>
      <c r="AD37" s="33"/>
      <c r="AE37" s="33"/>
      <c r="AF37" s="33"/>
      <c r="AG37" s="33"/>
      <c r="AH37" s="33"/>
      <c r="AI37" s="33"/>
      <c r="AJ37" s="33"/>
      <c r="AK37" s="33"/>
      <c r="AL37" s="49"/>
      <c r="AM37" s="49"/>
      <c r="AN37" s="49"/>
      <c r="AO37" s="49"/>
    </row>
    <row r="38" customFormat="false" ht="27.75" hidden="false" customHeight="true" outlineLevel="0" collapsed="false">
      <c r="A38" s="50"/>
      <c r="B38" s="20"/>
      <c r="C38" s="21"/>
      <c r="D38" s="21"/>
      <c r="E38" s="22"/>
      <c r="F38" s="51"/>
      <c r="G38" s="24"/>
      <c r="H38" s="25"/>
      <c r="I38" s="26"/>
      <c r="J38" s="27"/>
      <c r="K38" s="52"/>
      <c r="L38" s="20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9"/>
      <c r="AA38" s="39"/>
      <c r="AB38" s="40"/>
      <c r="AC38" s="45"/>
      <c r="AD38" s="33"/>
      <c r="AE38" s="33"/>
      <c r="AF38" s="33"/>
      <c r="AG38" s="33"/>
      <c r="AH38" s="33"/>
      <c r="AI38" s="33"/>
      <c r="AJ38" s="33"/>
      <c r="AK38" s="33"/>
      <c r="AL38" s="49"/>
      <c r="AM38" s="49"/>
      <c r="AN38" s="49"/>
      <c r="AO38" s="49"/>
    </row>
    <row r="39" customFormat="false" ht="27.75" hidden="false" customHeight="true" outlineLevel="0" collapsed="false">
      <c r="A39" s="50"/>
      <c r="B39" s="20"/>
      <c r="C39" s="21"/>
      <c r="D39" s="21"/>
      <c r="E39" s="22"/>
      <c r="F39" s="51"/>
      <c r="G39" s="24"/>
      <c r="H39" s="25"/>
      <c r="I39" s="26"/>
      <c r="J39" s="27"/>
      <c r="K39" s="52"/>
      <c r="L39" s="20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9"/>
      <c r="AA39" s="39"/>
      <c r="AB39" s="40"/>
      <c r="AC39" s="45"/>
      <c r="AD39" s="33"/>
      <c r="AE39" s="33"/>
      <c r="AF39" s="33"/>
      <c r="AG39" s="33"/>
      <c r="AH39" s="33"/>
      <c r="AI39" s="33"/>
      <c r="AJ39" s="33"/>
      <c r="AK39" s="33"/>
      <c r="AL39" s="49"/>
      <c r="AM39" s="49"/>
      <c r="AN39" s="49"/>
      <c r="AO39" s="49"/>
    </row>
    <row r="40" customFormat="false" ht="27.75" hidden="false" customHeight="true" outlineLevel="0" collapsed="false">
      <c r="A40" s="50"/>
      <c r="B40" s="20"/>
      <c r="C40" s="21"/>
      <c r="D40" s="21"/>
      <c r="E40" s="22"/>
      <c r="F40" s="51"/>
      <c r="G40" s="24"/>
      <c r="H40" s="25"/>
      <c r="I40" s="26"/>
      <c r="J40" s="27"/>
      <c r="K40" s="52"/>
      <c r="L40" s="20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39"/>
      <c r="AA40" s="39"/>
      <c r="AB40" s="40"/>
      <c r="AC40" s="45"/>
      <c r="AD40" s="33"/>
      <c r="AE40" s="33"/>
      <c r="AF40" s="33"/>
      <c r="AG40" s="33"/>
      <c r="AH40" s="33"/>
      <c r="AI40" s="33"/>
      <c r="AJ40" s="33"/>
      <c r="AK40" s="33"/>
      <c r="AL40" s="49"/>
      <c r="AM40" s="49"/>
      <c r="AN40" s="49"/>
      <c r="AO40" s="49"/>
    </row>
    <row r="41" customFormat="false" ht="27.75" hidden="false" customHeight="true" outlineLevel="0" collapsed="false">
      <c r="A41" s="50"/>
      <c r="B41" s="20"/>
      <c r="C41" s="21"/>
      <c r="D41" s="21"/>
      <c r="E41" s="22"/>
      <c r="F41" s="51"/>
      <c r="G41" s="24"/>
      <c r="H41" s="25"/>
      <c r="I41" s="26"/>
      <c r="J41" s="27"/>
      <c r="K41" s="52"/>
      <c r="L41" s="20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39"/>
      <c r="AA41" s="39"/>
      <c r="AB41" s="40"/>
      <c r="AC41" s="45"/>
      <c r="AD41" s="33"/>
      <c r="AE41" s="33"/>
      <c r="AF41" s="33"/>
      <c r="AG41" s="33"/>
      <c r="AH41" s="33"/>
      <c r="AI41" s="33"/>
      <c r="AJ41" s="33"/>
      <c r="AK41" s="33"/>
      <c r="AL41" s="49"/>
      <c r="AM41" s="49"/>
      <c r="AN41" s="49"/>
      <c r="AO41" s="49"/>
    </row>
    <row r="42" customFormat="false" ht="27.75" hidden="false" customHeight="true" outlineLevel="0" collapsed="false">
      <c r="A42" s="50"/>
      <c r="B42" s="20"/>
      <c r="C42" s="21"/>
      <c r="D42" s="21"/>
      <c r="E42" s="22"/>
      <c r="F42" s="51"/>
      <c r="G42" s="24"/>
      <c r="H42" s="25"/>
      <c r="I42" s="26"/>
      <c r="J42" s="27"/>
      <c r="K42" s="52"/>
      <c r="L42" s="20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  <c r="Z42" s="39"/>
      <c r="AA42" s="39"/>
      <c r="AB42" s="40"/>
      <c r="AC42" s="45"/>
      <c r="AD42" s="33"/>
      <c r="AE42" s="33"/>
      <c r="AF42" s="33"/>
      <c r="AG42" s="33"/>
      <c r="AH42" s="33"/>
      <c r="AI42" s="33"/>
      <c r="AJ42" s="33"/>
      <c r="AK42" s="33"/>
      <c r="AL42" s="49"/>
      <c r="AM42" s="49"/>
      <c r="AN42" s="49"/>
      <c r="AO42" s="49"/>
    </row>
    <row r="43" customFormat="false" ht="27.75" hidden="false" customHeight="true" outlineLevel="0" collapsed="false">
      <c r="A43" s="50"/>
      <c r="B43" s="20"/>
      <c r="C43" s="21"/>
      <c r="D43" s="21"/>
      <c r="E43" s="22"/>
      <c r="F43" s="51"/>
      <c r="G43" s="24"/>
      <c r="H43" s="25"/>
      <c r="I43" s="26"/>
      <c r="J43" s="27"/>
      <c r="K43" s="52"/>
      <c r="L43" s="20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39"/>
      <c r="AA43" s="39"/>
      <c r="AB43" s="40"/>
      <c r="AC43" s="45"/>
      <c r="AD43" s="33"/>
      <c r="AE43" s="33"/>
      <c r="AF43" s="33"/>
      <c r="AG43" s="33"/>
      <c r="AH43" s="33"/>
      <c r="AI43" s="33"/>
      <c r="AJ43" s="33"/>
      <c r="AK43" s="33"/>
      <c r="AL43" s="49"/>
      <c r="AM43" s="49"/>
      <c r="AN43" s="49"/>
      <c r="AO43" s="49"/>
    </row>
    <row r="44" customFormat="false" ht="27.75" hidden="false" customHeight="true" outlineLevel="0" collapsed="false">
      <c r="A44" s="50"/>
      <c r="B44" s="20"/>
      <c r="C44" s="21"/>
      <c r="D44" s="21"/>
      <c r="E44" s="22"/>
      <c r="F44" s="51"/>
      <c r="G44" s="24"/>
      <c r="H44" s="25"/>
      <c r="I44" s="26"/>
      <c r="J44" s="27"/>
      <c r="K44" s="52"/>
      <c r="L44" s="20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39"/>
      <c r="AA44" s="39"/>
      <c r="AB44" s="40"/>
      <c r="AC44" s="45"/>
      <c r="AD44" s="33"/>
      <c r="AE44" s="33"/>
      <c r="AF44" s="33"/>
      <c r="AG44" s="33"/>
      <c r="AH44" s="33"/>
      <c r="AI44" s="33"/>
      <c r="AJ44" s="33"/>
      <c r="AK44" s="33"/>
      <c r="AL44" s="49"/>
      <c r="AM44" s="49"/>
      <c r="AN44" s="49"/>
      <c r="AO44" s="49"/>
    </row>
    <row r="45" customFormat="false" ht="27.75" hidden="false" customHeight="true" outlineLevel="0" collapsed="false">
      <c r="A45" s="50"/>
      <c r="B45" s="20"/>
      <c r="C45" s="21"/>
      <c r="D45" s="21"/>
      <c r="E45" s="22"/>
      <c r="F45" s="51"/>
      <c r="G45" s="24"/>
      <c r="H45" s="25"/>
      <c r="I45" s="26"/>
      <c r="J45" s="27"/>
      <c r="K45" s="52"/>
      <c r="L45" s="20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39"/>
      <c r="AA45" s="39"/>
      <c r="AB45" s="40"/>
      <c r="AC45" s="45"/>
      <c r="AD45" s="33"/>
      <c r="AE45" s="33"/>
      <c r="AF45" s="33"/>
      <c r="AG45" s="33"/>
      <c r="AH45" s="33"/>
      <c r="AI45" s="33"/>
      <c r="AJ45" s="33"/>
      <c r="AK45" s="33"/>
      <c r="AL45" s="49"/>
      <c r="AM45" s="49"/>
      <c r="AN45" s="49"/>
      <c r="AO45" s="49"/>
    </row>
    <row r="46" customFormat="false" ht="27.75" hidden="false" customHeight="true" outlineLevel="0" collapsed="false">
      <c r="A46" s="50"/>
      <c r="B46" s="20"/>
      <c r="C46" s="21"/>
      <c r="D46" s="21"/>
      <c r="E46" s="22"/>
      <c r="F46" s="51"/>
      <c r="G46" s="24"/>
      <c r="H46" s="25"/>
      <c r="I46" s="26"/>
      <c r="J46" s="27"/>
      <c r="K46" s="52"/>
      <c r="L46" s="20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9"/>
      <c r="AA46" s="39"/>
      <c r="AB46" s="40"/>
      <c r="AC46" s="45"/>
      <c r="AD46" s="33"/>
      <c r="AE46" s="33"/>
      <c r="AF46" s="33"/>
      <c r="AG46" s="33"/>
      <c r="AH46" s="33"/>
      <c r="AI46" s="33"/>
      <c r="AJ46" s="33"/>
      <c r="AK46" s="33"/>
      <c r="AL46" s="49"/>
      <c r="AM46" s="49"/>
      <c r="AN46" s="49"/>
      <c r="AO46" s="49"/>
    </row>
    <row r="47" customFormat="false" ht="27.75" hidden="false" customHeight="true" outlineLevel="0" collapsed="false">
      <c r="A47" s="50"/>
      <c r="B47" s="20"/>
      <c r="C47" s="21"/>
      <c r="D47" s="21"/>
      <c r="E47" s="22"/>
      <c r="F47" s="51"/>
      <c r="G47" s="24"/>
      <c r="H47" s="25"/>
      <c r="I47" s="26"/>
      <c r="J47" s="27"/>
      <c r="K47" s="52"/>
      <c r="L47" s="20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39"/>
      <c r="AA47" s="39"/>
      <c r="AB47" s="40"/>
      <c r="AC47" s="45"/>
      <c r="AD47" s="33"/>
      <c r="AE47" s="33"/>
      <c r="AF47" s="33"/>
      <c r="AG47" s="33"/>
      <c r="AH47" s="33"/>
      <c r="AI47" s="33"/>
      <c r="AJ47" s="33"/>
      <c r="AK47" s="33"/>
      <c r="AL47" s="49"/>
      <c r="AM47" s="49"/>
      <c r="AN47" s="49"/>
      <c r="AO47" s="49"/>
    </row>
    <row r="48" customFormat="false" ht="27.75" hidden="false" customHeight="true" outlineLevel="0" collapsed="false">
      <c r="A48" s="50"/>
      <c r="B48" s="20"/>
      <c r="C48" s="21"/>
      <c r="D48" s="21"/>
      <c r="E48" s="22"/>
      <c r="F48" s="51"/>
      <c r="G48" s="24"/>
      <c r="H48" s="25"/>
      <c r="I48" s="26"/>
      <c r="J48" s="27"/>
      <c r="K48" s="52"/>
      <c r="L48" s="20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  <c r="Z48" s="39"/>
      <c r="AA48" s="39"/>
      <c r="AB48" s="40"/>
      <c r="AC48" s="45"/>
      <c r="AD48" s="33"/>
      <c r="AE48" s="33"/>
      <c r="AF48" s="33"/>
      <c r="AG48" s="33"/>
      <c r="AH48" s="33"/>
      <c r="AI48" s="33"/>
      <c r="AJ48" s="33"/>
      <c r="AK48" s="33"/>
      <c r="AL48" s="49"/>
      <c r="AM48" s="49"/>
      <c r="AN48" s="49"/>
      <c r="AO48" s="49"/>
    </row>
    <row r="49" customFormat="false" ht="27.75" hidden="false" customHeight="true" outlineLevel="0" collapsed="false">
      <c r="A49" s="50"/>
      <c r="B49" s="20"/>
      <c r="C49" s="21"/>
      <c r="D49" s="21"/>
      <c r="E49" s="22"/>
      <c r="F49" s="51"/>
      <c r="G49" s="24"/>
      <c r="H49" s="25"/>
      <c r="I49" s="26"/>
      <c r="J49" s="27"/>
      <c r="K49" s="52"/>
      <c r="L49" s="20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  <c r="Z49" s="39"/>
      <c r="AA49" s="39"/>
      <c r="AB49" s="40"/>
      <c r="AC49" s="45"/>
      <c r="AD49" s="33"/>
      <c r="AE49" s="33"/>
      <c r="AF49" s="33"/>
      <c r="AG49" s="33"/>
      <c r="AH49" s="33"/>
      <c r="AI49" s="33"/>
      <c r="AJ49" s="33"/>
      <c r="AK49" s="33"/>
      <c r="AL49" s="49"/>
      <c r="AM49" s="49"/>
      <c r="AN49" s="49"/>
      <c r="AO49" s="49"/>
    </row>
    <row r="50" customFormat="false" ht="27.75" hidden="false" customHeight="true" outlineLevel="0" collapsed="false">
      <c r="A50" s="50"/>
      <c r="B50" s="20"/>
      <c r="C50" s="21"/>
      <c r="D50" s="21"/>
      <c r="E50" s="22"/>
      <c r="F50" s="51"/>
      <c r="G50" s="24"/>
      <c r="H50" s="25"/>
      <c r="I50" s="26"/>
      <c r="J50" s="27"/>
      <c r="K50" s="52"/>
      <c r="L50" s="20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39"/>
      <c r="AA50" s="39"/>
      <c r="AB50" s="40"/>
      <c r="AC50" s="45"/>
      <c r="AD50" s="33"/>
      <c r="AE50" s="33"/>
      <c r="AF50" s="33"/>
      <c r="AG50" s="33"/>
      <c r="AH50" s="33"/>
      <c r="AI50" s="33"/>
      <c r="AJ50" s="33"/>
      <c r="AK50" s="33"/>
      <c r="AL50" s="49"/>
      <c r="AM50" s="49"/>
      <c r="AN50" s="49"/>
      <c r="AO50" s="49"/>
    </row>
    <row r="51" customFormat="false" ht="27.75" hidden="false" customHeight="true" outlineLevel="0" collapsed="false">
      <c r="A51" s="50"/>
      <c r="B51" s="20"/>
      <c r="C51" s="21"/>
      <c r="D51" s="21"/>
      <c r="E51" s="22"/>
      <c r="F51" s="53"/>
      <c r="G51" s="24"/>
      <c r="H51" s="25"/>
      <c r="I51" s="26"/>
      <c r="J51" s="27"/>
      <c r="K51" s="52"/>
      <c r="L51" s="20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39"/>
      <c r="AA51" s="39"/>
      <c r="AB51" s="40"/>
      <c r="AC51" s="45"/>
      <c r="AD51" s="33"/>
      <c r="AE51" s="33"/>
      <c r="AF51" s="33"/>
      <c r="AG51" s="33"/>
      <c r="AH51" s="33"/>
      <c r="AI51" s="33"/>
      <c r="AJ51" s="33"/>
      <c r="AK51" s="33"/>
      <c r="AL51" s="49"/>
      <c r="AM51" s="49"/>
      <c r="AN51" s="49"/>
      <c r="AO51" s="49"/>
    </row>
    <row r="52" customFormat="false" ht="27.75" hidden="false" customHeight="true" outlineLevel="0" collapsed="false">
      <c r="A52" s="50"/>
      <c r="B52" s="20"/>
      <c r="C52" s="21"/>
      <c r="D52" s="21"/>
      <c r="E52" s="22"/>
      <c r="F52" s="53"/>
      <c r="G52" s="24"/>
      <c r="H52" s="25"/>
      <c r="I52" s="26"/>
      <c r="J52" s="27"/>
      <c r="K52" s="52"/>
      <c r="L52" s="20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39"/>
      <c r="AA52" s="39"/>
      <c r="AB52" s="40"/>
      <c r="AC52" s="45"/>
      <c r="AD52" s="2"/>
      <c r="AE52" s="2"/>
      <c r="AF52" s="2"/>
      <c r="AG52" s="2"/>
      <c r="AH52" s="2"/>
      <c r="AI52" s="2"/>
      <c r="AJ52" s="2"/>
      <c r="AK52" s="2"/>
      <c r="AL52" s="54"/>
      <c r="AM52" s="54"/>
      <c r="AN52" s="54"/>
      <c r="AO52" s="54"/>
    </row>
    <row r="53" customFormat="false" ht="27.75" hidden="false" customHeight="true" outlineLevel="0" collapsed="false">
      <c r="A53" s="50"/>
      <c r="B53" s="20"/>
      <c r="C53" s="21"/>
      <c r="D53" s="21"/>
      <c r="E53" s="22"/>
      <c r="F53" s="53"/>
      <c r="G53" s="24"/>
      <c r="H53" s="25"/>
      <c r="I53" s="26"/>
      <c r="J53" s="27"/>
      <c r="K53" s="52"/>
      <c r="L53" s="20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39"/>
      <c r="AA53" s="39"/>
      <c r="AB53" s="40"/>
      <c r="AC53" s="45"/>
      <c r="AD53" s="2"/>
      <c r="AE53" s="2"/>
      <c r="AF53" s="2"/>
      <c r="AG53" s="2"/>
      <c r="AH53" s="2"/>
      <c r="AI53" s="2"/>
      <c r="AJ53" s="2"/>
      <c r="AK53" s="2"/>
      <c r="AL53" s="54"/>
      <c r="AM53" s="54"/>
      <c r="AN53" s="54"/>
      <c r="AO53" s="54"/>
    </row>
    <row r="54" customFormat="false" ht="27.75" hidden="false" customHeight="true" outlineLevel="0" collapsed="false">
      <c r="A54" s="50"/>
      <c r="B54" s="20"/>
      <c r="C54" s="21"/>
      <c r="D54" s="21"/>
      <c r="E54" s="22"/>
      <c r="F54" s="53"/>
      <c r="G54" s="24"/>
      <c r="H54" s="25"/>
      <c r="I54" s="26"/>
      <c r="J54" s="27"/>
      <c r="K54" s="52"/>
      <c r="L54" s="2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9"/>
      <c r="AA54" s="39"/>
      <c r="AB54" s="40"/>
      <c r="AC54" s="45"/>
      <c r="AD54" s="2"/>
      <c r="AE54" s="2"/>
      <c r="AF54" s="2"/>
      <c r="AG54" s="2"/>
      <c r="AH54" s="2"/>
      <c r="AI54" s="2"/>
      <c r="AJ54" s="2"/>
      <c r="AK54" s="2"/>
      <c r="AL54" s="54"/>
      <c r="AM54" s="54"/>
      <c r="AN54" s="54"/>
      <c r="AO54" s="54"/>
    </row>
    <row r="55" customFormat="false" ht="27.75" hidden="false" customHeight="true" outlineLevel="0" collapsed="false">
      <c r="A55" s="50"/>
      <c r="B55" s="20"/>
      <c r="C55" s="21"/>
      <c r="D55" s="21"/>
      <c r="E55" s="22"/>
      <c r="F55" s="53"/>
      <c r="G55" s="24"/>
      <c r="H55" s="25"/>
      <c r="I55" s="26"/>
      <c r="J55" s="27"/>
      <c r="K55" s="52"/>
      <c r="L55" s="20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9"/>
      <c r="AA55" s="39"/>
      <c r="AB55" s="40"/>
      <c r="AC55" s="45"/>
      <c r="AD55" s="2"/>
      <c r="AE55" s="2"/>
      <c r="AF55" s="2"/>
      <c r="AG55" s="2"/>
      <c r="AH55" s="2"/>
      <c r="AI55" s="2"/>
      <c r="AJ55" s="2"/>
      <c r="AK55" s="2"/>
      <c r="AL55" s="54"/>
      <c r="AM55" s="54"/>
      <c r="AN55" s="54"/>
      <c r="AO55" s="54"/>
    </row>
    <row r="56" customFormat="false" ht="27.75" hidden="false" customHeight="true" outlineLevel="0" collapsed="false">
      <c r="A56" s="50"/>
      <c r="B56" s="20"/>
      <c r="C56" s="21"/>
      <c r="D56" s="21"/>
      <c r="E56" s="22"/>
      <c r="F56" s="53"/>
      <c r="G56" s="24"/>
      <c r="H56" s="25"/>
      <c r="I56" s="26"/>
      <c r="J56" s="27"/>
      <c r="K56" s="52"/>
      <c r="L56" s="20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  <c r="Z56" s="39"/>
      <c r="AA56" s="39"/>
      <c r="AB56" s="40"/>
      <c r="AC56" s="45"/>
      <c r="AD56" s="2"/>
      <c r="AE56" s="2"/>
      <c r="AF56" s="2"/>
      <c r="AG56" s="2"/>
      <c r="AH56" s="2"/>
      <c r="AI56" s="2"/>
      <c r="AJ56" s="2"/>
      <c r="AK56" s="2"/>
      <c r="AL56" s="54"/>
      <c r="AM56" s="54"/>
      <c r="AN56" s="54"/>
      <c r="AO56" s="54"/>
    </row>
    <row r="57" customFormat="false" ht="27.75" hidden="false" customHeight="true" outlineLevel="0" collapsed="false">
      <c r="A57" s="50"/>
      <c r="B57" s="20"/>
      <c r="C57" s="21"/>
      <c r="D57" s="21"/>
      <c r="E57" s="22"/>
      <c r="F57" s="53"/>
      <c r="G57" s="24"/>
      <c r="H57" s="25"/>
      <c r="I57" s="26"/>
      <c r="J57" s="27"/>
      <c r="K57" s="52"/>
      <c r="L57" s="20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9"/>
      <c r="AA57" s="39"/>
      <c r="AB57" s="40"/>
      <c r="AC57" s="45"/>
      <c r="AD57" s="2"/>
      <c r="AE57" s="2"/>
      <c r="AF57" s="2"/>
      <c r="AG57" s="2"/>
      <c r="AH57" s="2"/>
      <c r="AI57" s="2"/>
      <c r="AJ57" s="2"/>
      <c r="AK57" s="2"/>
      <c r="AL57" s="54"/>
      <c r="AM57" s="54"/>
      <c r="AN57" s="54"/>
      <c r="AO57" s="54"/>
    </row>
    <row r="58" customFormat="false" ht="27.75" hidden="false" customHeight="true" outlineLevel="0" collapsed="false">
      <c r="A58" s="50"/>
      <c r="B58" s="20"/>
      <c r="C58" s="21"/>
      <c r="D58" s="21"/>
      <c r="E58" s="22"/>
      <c r="F58" s="53"/>
      <c r="G58" s="24"/>
      <c r="H58" s="25"/>
      <c r="I58" s="26"/>
      <c r="J58" s="27"/>
      <c r="K58" s="52"/>
      <c r="L58" s="20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9"/>
      <c r="AA58" s="39"/>
      <c r="AB58" s="40"/>
      <c r="AC58" s="45"/>
      <c r="AD58" s="2"/>
      <c r="AE58" s="2"/>
      <c r="AF58" s="2"/>
      <c r="AG58" s="2"/>
      <c r="AH58" s="2"/>
      <c r="AI58" s="2"/>
      <c r="AJ58" s="2"/>
      <c r="AK58" s="2"/>
      <c r="AL58" s="54"/>
      <c r="AM58" s="54"/>
      <c r="AN58" s="54"/>
      <c r="AO58" s="54"/>
    </row>
    <row r="59" customFormat="false" ht="27.75" hidden="false" customHeight="true" outlineLevel="0" collapsed="false">
      <c r="A59" s="50"/>
      <c r="B59" s="20"/>
      <c r="C59" s="21"/>
      <c r="D59" s="21"/>
      <c r="E59" s="22"/>
      <c r="F59" s="53"/>
      <c r="G59" s="24"/>
      <c r="H59" s="25"/>
      <c r="I59" s="26"/>
      <c r="J59" s="27"/>
      <c r="K59" s="52"/>
      <c r="L59" s="20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9"/>
      <c r="AA59" s="39"/>
      <c r="AB59" s="40"/>
      <c r="AC59" s="45"/>
      <c r="AD59" s="2"/>
      <c r="AE59" s="2"/>
      <c r="AF59" s="2"/>
      <c r="AG59" s="2"/>
      <c r="AH59" s="2"/>
      <c r="AI59" s="2"/>
      <c r="AJ59" s="2"/>
      <c r="AK59" s="2"/>
      <c r="AL59" s="54"/>
      <c r="AM59" s="54"/>
      <c r="AN59" s="54"/>
      <c r="AO59" s="54"/>
    </row>
    <row r="60" customFormat="false" ht="27.75" hidden="false" customHeight="true" outlineLevel="0" collapsed="false">
      <c r="A60" s="50"/>
      <c r="B60" s="20"/>
      <c r="C60" s="21"/>
      <c r="D60" s="21"/>
      <c r="E60" s="22"/>
      <c r="F60" s="53"/>
      <c r="G60" s="24"/>
      <c r="H60" s="25"/>
      <c r="I60" s="26"/>
      <c r="J60" s="27"/>
      <c r="K60" s="52"/>
      <c r="L60" s="20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9"/>
      <c r="AA60" s="39"/>
      <c r="AB60" s="40"/>
      <c r="AC60" s="45"/>
      <c r="AD60" s="2"/>
      <c r="AE60" s="2"/>
      <c r="AF60" s="2"/>
      <c r="AG60" s="2"/>
      <c r="AH60" s="2"/>
      <c r="AI60" s="2"/>
      <c r="AJ60" s="2"/>
      <c r="AK60" s="2"/>
      <c r="AL60" s="54"/>
      <c r="AM60" s="54"/>
      <c r="AN60" s="54"/>
      <c r="AO60" s="54"/>
    </row>
    <row r="61" customFormat="false" ht="27.75" hidden="false" customHeight="true" outlineLevel="0" collapsed="false">
      <c r="A61" s="50"/>
      <c r="B61" s="20"/>
      <c r="C61" s="21"/>
      <c r="D61" s="21"/>
      <c r="E61" s="22"/>
      <c r="F61" s="53"/>
      <c r="G61" s="24"/>
      <c r="H61" s="25"/>
      <c r="I61" s="26"/>
      <c r="J61" s="27"/>
      <c r="K61" s="52"/>
      <c r="L61" s="20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9"/>
      <c r="AA61" s="39"/>
      <c r="AB61" s="40"/>
      <c r="AC61" s="45"/>
      <c r="AD61" s="2"/>
      <c r="AE61" s="2"/>
      <c r="AF61" s="2"/>
      <c r="AG61" s="2"/>
      <c r="AH61" s="2"/>
      <c r="AI61" s="2"/>
      <c r="AJ61" s="2"/>
      <c r="AK61" s="2"/>
      <c r="AL61" s="54"/>
      <c r="AM61" s="54"/>
      <c r="AN61" s="54"/>
      <c r="AO61" s="54"/>
    </row>
    <row r="62" customFormat="false" ht="27.75" hidden="false" customHeight="true" outlineLevel="0" collapsed="false">
      <c r="A62" s="50"/>
      <c r="B62" s="20"/>
      <c r="C62" s="21"/>
      <c r="D62" s="21"/>
      <c r="E62" s="22"/>
      <c r="F62" s="53"/>
      <c r="G62" s="24"/>
      <c r="H62" s="25"/>
      <c r="I62" s="26"/>
      <c r="J62" s="27"/>
      <c r="K62" s="52"/>
      <c r="L62" s="2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/>
      <c r="AA62" s="39"/>
      <c r="AB62" s="40"/>
      <c r="AC62" s="45"/>
      <c r="AD62" s="2"/>
      <c r="AE62" s="2"/>
      <c r="AF62" s="2"/>
      <c r="AG62" s="2"/>
      <c r="AH62" s="2"/>
      <c r="AI62" s="2"/>
      <c r="AJ62" s="2"/>
      <c r="AK62" s="2"/>
      <c r="AL62" s="54"/>
      <c r="AM62" s="54"/>
      <c r="AN62" s="54"/>
      <c r="AO62" s="54"/>
    </row>
    <row r="63" customFormat="false" ht="27.75" hidden="false" customHeight="true" outlineLevel="0" collapsed="false">
      <c r="A63" s="50"/>
      <c r="B63" s="20"/>
      <c r="C63" s="21"/>
      <c r="D63" s="21"/>
      <c r="E63" s="22"/>
      <c r="F63" s="53"/>
      <c r="G63" s="24"/>
      <c r="H63" s="25"/>
      <c r="I63" s="26"/>
      <c r="J63" s="27"/>
      <c r="K63" s="52"/>
      <c r="L63" s="2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/>
      <c r="AA63" s="39"/>
      <c r="AB63" s="40"/>
      <c r="AC63" s="45"/>
      <c r="AD63" s="2"/>
      <c r="AE63" s="2"/>
      <c r="AF63" s="2"/>
      <c r="AG63" s="2"/>
      <c r="AH63" s="2"/>
      <c r="AI63" s="2"/>
      <c r="AJ63" s="2"/>
      <c r="AK63" s="2"/>
      <c r="AL63" s="54"/>
      <c r="AM63" s="54"/>
      <c r="AN63" s="54"/>
      <c r="AO63" s="54"/>
    </row>
    <row r="64" customFormat="false" ht="27.75" hidden="false" customHeight="true" outlineLevel="0" collapsed="false">
      <c r="A64" s="50"/>
      <c r="B64" s="20"/>
      <c r="C64" s="21"/>
      <c r="D64" s="21"/>
      <c r="E64" s="22"/>
      <c r="F64" s="53"/>
      <c r="G64" s="24"/>
      <c r="H64" s="25"/>
      <c r="I64" s="26"/>
      <c r="J64" s="27"/>
      <c r="K64" s="52"/>
      <c r="L64" s="20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9"/>
      <c r="AA64" s="39"/>
      <c r="AB64" s="40"/>
      <c r="AC64" s="45"/>
      <c r="AD64" s="2"/>
      <c r="AE64" s="2"/>
      <c r="AF64" s="2"/>
      <c r="AG64" s="2"/>
      <c r="AH64" s="2"/>
      <c r="AI64" s="2"/>
      <c r="AJ64" s="2"/>
      <c r="AK64" s="2"/>
      <c r="AL64" s="54"/>
      <c r="AM64" s="54"/>
      <c r="AN64" s="54"/>
      <c r="AO64" s="54"/>
    </row>
    <row r="65" customFormat="false" ht="27.75" hidden="false" customHeight="true" outlineLevel="0" collapsed="false">
      <c r="A65" s="50"/>
      <c r="B65" s="20"/>
      <c r="C65" s="21"/>
      <c r="D65" s="21"/>
      <c r="E65" s="22"/>
      <c r="F65" s="53"/>
      <c r="G65" s="24"/>
      <c r="H65" s="25"/>
      <c r="I65" s="26"/>
      <c r="J65" s="27"/>
      <c r="K65" s="52"/>
      <c r="L65" s="20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/>
      <c r="AA65" s="39"/>
      <c r="AB65" s="40"/>
      <c r="AC65" s="45"/>
      <c r="AD65" s="2"/>
      <c r="AE65" s="2"/>
      <c r="AF65" s="2"/>
      <c r="AG65" s="2"/>
      <c r="AH65" s="2"/>
      <c r="AI65" s="2"/>
      <c r="AJ65" s="2"/>
      <c r="AK65" s="2"/>
      <c r="AL65" s="54"/>
      <c r="AM65" s="54"/>
      <c r="AN65" s="54"/>
      <c r="AO65" s="54"/>
    </row>
    <row r="66" customFormat="false" ht="27.75" hidden="false" customHeight="true" outlineLevel="0" collapsed="false">
      <c r="A66" s="50"/>
      <c r="B66" s="20"/>
      <c r="C66" s="21"/>
      <c r="D66" s="21"/>
      <c r="E66" s="22"/>
      <c r="F66" s="53"/>
      <c r="G66" s="24"/>
      <c r="H66" s="25"/>
      <c r="I66" s="26"/>
      <c r="J66" s="27"/>
      <c r="K66" s="52"/>
      <c r="L66" s="20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9"/>
      <c r="AA66" s="39"/>
      <c r="AB66" s="40"/>
      <c r="AC66" s="45"/>
      <c r="AD66" s="2"/>
      <c r="AE66" s="2"/>
      <c r="AF66" s="2"/>
      <c r="AG66" s="2"/>
      <c r="AH66" s="2"/>
      <c r="AI66" s="2"/>
      <c r="AJ66" s="2"/>
      <c r="AK66" s="2"/>
      <c r="AL66" s="54"/>
      <c r="AM66" s="54"/>
      <c r="AN66" s="54"/>
      <c r="AO66" s="54"/>
    </row>
    <row r="67" customFormat="false" ht="27.75" hidden="false" customHeight="true" outlineLevel="0" collapsed="false">
      <c r="A67" s="50"/>
      <c r="B67" s="20"/>
      <c r="C67" s="21"/>
      <c r="D67" s="21"/>
      <c r="E67" s="22"/>
      <c r="F67" s="53"/>
      <c r="G67" s="24"/>
      <c r="H67" s="25"/>
      <c r="I67" s="26"/>
      <c r="J67" s="27"/>
      <c r="K67" s="52"/>
      <c r="L67" s="20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/>
      <c r="AA67" s="39"/>
      <c r="AB67" s="40"/>
      <c r="AC67" s="45"/>
      <c r="AD67" s="2"/>
      <c r="AE67" s="2"/>
      <c r="AF67" s="2"/>
      <c r="AG67" s="2"/>
      <c r="AH67" s="2"/>
      <c r="AI67" s="2"/>
      <c r="AJ67" s="2"/>
      <c r="AK67" s="2"/>
      <c r="AL67" s="54"/>
      <c r="AM67" s="54"/>
      <c r="AN67" s="54"/>
      <c r="AO67" s="54"/>
    </row>
    <row r="68" customFormat="false" ht="27.75" hidden="false" customHeight="true" outlineLevel="0" collapsed="false">
      <c r="A68" s="50"/>
      <c r="B68" s="20"/>
      <c r="C68" s="21"/>
      <c r="D68" s="21"/>
      <c r="E68" s="22"/>
      <c r="F68" s="53"/>
      <c r="G68" s="24"/>
      <c r="H68" s="25"/>
      <c r="I68" s="26"/>
      <c r="J68" s="27"/>
      <c r="K68" s="52"/>
      <c r="L68" s="20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/>
      <c r="AA68" s="39"/>
      <c r="AB68" s="40"/>
      <c r="AC68" s="45"/>
      <c r="AD68" s="2"/>
      <c r="AE68" s="2"/>
      <c r="AF68" s="2"/>
      <c r="AG68" s="2"/>
      <c r="AH68" s="2"/>
      <c r="AI68" s="2"/>
      <c r="AJ68" s="2"/>
      <c r="AK68" s="2"/>
      <c r="AL68" s="54"/>
      <c r="AM68" s="54"/>
      <c r="AN68" s="54"/>
      <c r="AO68" s="54"/>
    </row>
    <row r="69" customFormat="false" ht="27.75" hidden="false" customHeight="true" outlineLevel="0" collapsed="false">
      <c r="A69" s="50"/>
      <c r="B69" s="20"/>
      <c r="C69" s="21"/>
      <c r="D69" s="21"/>
      <c r="E69" s="22"/>
      <c r="F69" s="53"/>
      <c r="G69" s="24"/>
      <c r="H69" s="25"/>
      <c r="I69" s="26"/>
      <c r="J69" s="27"/>
      <c r="K69" s="52"/>
      <c r="L69" s="20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/>
      <c r="AA69" s="39"/>
      <c r="AB69" s="40"/>
      <c r="AC69" s="45"/>
      <c r="AD69" s="2"/>
      <c r="AE69" s="2"/>
      <c r="AF69" s="2"/>
      <c r="AG69" s="2"/>
      <c r="AH69" s="2"/>
      <c r="AI69" s="2"/>
      <c r="AJ69" s="2"/>
      <c r="AK69" s="2"/>
      <c r="AL69" s="54"/>
      <c r="AM69" s="54"/>
      <c r="AN69" s="54"/>
      <c r="AO69" s="54"/>
    </row>
    <row r="70" customFormat="false" ht="27.75" hidden="false" customHeight="true" outlineLevel="0" collapsed="false">
      <c r="A70" s="50"/>
      <c r="B70" s="20"/>
      <c r="C70" s="21"/>
      <c r="D70" s="21"/>
      <c r="E70" s="22"/>
      <c r="F70" s="53"/>
      <c r="G70" s="24"/>
      <c r="H70" s="25"/>
      <c r="I70" s="26"/>
      <c r="J70" s="27"/>
      <c r="K70" s="52"/>
      <c r="L70" s="20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/>
      <c r="AA70" s="39"/>
      <c r="AB70" s="40"/>
      <c r="AC70" s="45"/>
      <c r="AD70" s="2"/>
      <c r="AE70" s="2"/>
      <c r="AF70" s="2"/>
      <c r="AG70" s="2"/>
      <c r="AH70" s="2"/>
      <c r="AI70" s="2"/>
      <c r="AJ70" s="2"/>
      <c r="AK70" s="2"/>
      <c r="AL70" s="54"/>
      <c r="AM70" s="54"/>
      <c r="AN70" s="54"/>
      <c r="AO70" s="54"/>
    </row>
    <row r="71" customFormat="false" ht="27.75" hidden="false" customHeight="true" outlineLevel="0" collapsed="false">
      <c r="A71" s="50"/>
      <c r="B71" s="20"/>
      <c r="C71" s="21"/>
      <c r="D71" s="21"/>
      <c r="E71" s="22"/>
      <c r="F71" s="53"/>
      <c r="G71" s="24"/>
      <c r="H71" s="25"/>
      <c r="I71" s="26"/>
      <c r="J71" s="27"/>
      <c r="K71" s="52"/>
      <c r="L71" s="20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/>
      <c r="AA71" s="39"/>
      <c r="AB71" s="40"/>
      <c r="AC71" s="45"/>
      <c r="AD71" s="2"/>
      <c r="AE71" s="2"/>
      <c r="AF71" s="2"/>
      <c r="AG71" s="2"/>
      <c r="AH71" s="2"/>
      <c r="AI71" s="2"/>
      <c r="AJ71" s="2"/>
      <c r="AK71" s="2"/>
      <c r="AL71" s="54"/>
      <c r="AM71" s="54"/>
      <c r="AN71" s="54"/>
      <c r="AO71" s="54"/>
    </row>
    <row r="72" customFormat="false" ht="27.75" hidden="false" customHeight="true" outlineLevel="0" collapsed="false">
      <c r="A72" s="50"/>
      <c r="B72" s="20"/>
      <c r="C72" s="21"/>
      <c r="D72" s="21"/>
      <c r="E72" s="22"/>
      <c r="F72" s="53"/>
      <c r="G72" s="24"/>
      <c r="H72" s="25"/>
      <c r="I72" s="26"/>
      <c r="J72" s="27"/>
      <c r="K72" s="52"/>
      <c r="L72" s="20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/>
      <c r="AA72" s="39"/>
      <c r="AB72" s="40"/>
      <c r="AC72" s="45"/>
      <c r="AD72" s="2"/>
      <c r="AE72" s="2"/>
      <c r="AF72" s="2"/>
      <c r="AG72" s="2"/>
      <c r="AH72" s="2"/>
      <c r="AI72" s="2"/>
      <c r="AJ72" s="2"/>
      <c r="AK72" s="2"/>
      <c r="AL72" s="54"/>
      <c r="AM72" s="54"/>
      <c r="AN72" s="54"/>
      <c r="AO72" s="54"/>
    </row>
    <row r="73" customFormat="false" ht="27.75" hidden="false" customHeight="true" outlineLevel="0" collapsed="false">
      <c r="A73" s="50"/>
      <c r="B73" s="20"/>
      <c r="C73" s="21"/>
      <c r="D73" s="21"/>
      <c r="E73" s="22"/>
      <c r="F73" s="53"/>
      <c r="G73" s="24"/>
      <c r="H73" s="25"/>
      <c r="I73" s="26"/>
      <c r="J73" s="27"/>
      <c r="K73" s="52"/>
      <c r="L73" s="20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9"/>
      <c r="AA73" s="39"/>
      <c r="AB73" s="40"/>
      <c r="AC73" s="45"/>
      <c r="AD73" s="2"/>
      <c r="AE73" s="2"/>
      <c r="AF73" s="2"/>
      <c r="AG73" s="2"/>
      <c r="AH73" s="2"/>
      <c r="AI73" s="2"/>
      <c r="AJ73" s="2"/>
      <c r="AK73" s="2"/>
      <c r="AL73" s="54"/>
      <c r="AM73" s="54"/>
      <c r="AN73" s="54"/>
      <c r="AO73" s="54"/>
    </row>
    <row r="74" customFormat="false" ht="27.75" hidden="false" customHeight="true" outlineLevel="0" collapsed="false">
      <c r="A74" s="50"/>
      <c r="B74" s="20"/>
      <c r="C74" s="21"/>
      <c r="D74" s="21"/>
      <c r="E74" s="22"/>
      <c r="F74" s="53"/>
      <c r="G74" s="24"/>
      <c r="H74" s="25"/>
      <c r="I74" s="26"/>
      <c r="J74" s="27"/>
      <c r="K74" s="52"/>
      <c r="L74" s="20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9"/>
      <c r="AA74" s="39"/>
      <c r="AB74" s="40"/>
      <c r="AC74" s="45"/>
      <c r="AD74" s="2"/>
      <c r="AE74" s="2"/>
      <c r="AF74" s="2"/>
      <c r="AG74" s="2"/>
      <c r="AH74" s="2"/>
      <c r="AI74" s="2"/>
      <c r="AJ74" s="2"/>
      <c r="AK74" s="2"/>
      <c r="AL74" s="54"/>
      <c r="AM74" s="54"/>
      <c r="AN74" s="54"/>
      <c r="AO74" s="54"/>
    </row>
    <row r="75" customFormat="false" ht="27.75" hidden="false" customHeight="true" outlineLevel="0" collapsed="false">
      <c r="A75" s="50"/>
      <c r="B75" s="20"/>
      <c r="C75" s="21"/>
      <c r="D75" s="21"/>
      <c r="E75" s="22"/>
      <c r="F75" s="53"/>
      <c r="G75" s="24"/>
      <c r="H75" s="25"/>
      <c r="I75" s="26"/>
      <c r="J75" s="27"/>
      <c r="K75" s="52"/>
      <c r="L75" s="20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9"/>
      <c r="AA75" s="39"/>
      <c r="AB75" s="40"/>
      <c r="AC75" s="45"/>
      <c r="AD75" s="2"/>
      <c r="AE75" s="2"/>
      <c r="AF75" s="2"/>
      <c r="AG75" s="2"/>
      <c r="AH75" s="2"/>
      <c r="AI75" s="2"/>
      <c r="AJ75" s="2"/>
      <c r="AK75" s="2"/>
      <c r="AL75" s="54"/>
      <c r="AM75" s="54"/>
      <c r="AN75" s="54"/>
      <c r="AO75" s="54"/>
    </row>
    <row r="76" customFormat="false" ht="27.75" hidden="false" customHeight="true" outlineLevel="0" collapsed="false">
      <c r="A76" s="50"/>
      <c r="B76" s="20"/>
      <c r="C76" s="21"/>
      <c r="D76" s="21"/>
      <c r="E76" s="22"/>
      <c r="F76" s="53"/>
      <c r="G76" s="24"/>
      <c r="H76" s="25"/>
      <c r="I76" s="26"/>
      <c r="J76" s="27"/>
      <c r="K76" s="52"/>
      <c r="L76" s="20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9"/>
      <c r="AA76" s="39"/>
      <c r="AB76" s="40"/>
      <c r="AC76" s="45"/>
      <c r="AD76" s="2"/>
      <c r="AE76" s="2"/>
      <c r="AF76" s="2"/>
      <c r="AG76" s="2"/>
      <c r="AH76" s="2"/>
      <c r="AI76" s="2"/>
      <c r="AJ76" s="2"/>
      <c r="AK76" s="2"/>
      <c r="AL76" s="54"/>
      <c r="AM76" s="54"/>
      <c r="AN76" s="54"/>
      <c r="AO76" s="54"/>
    </row>
    <row r="77" customFormat="false" ht="27.75" hidden="false" customHeight="true" outlineLevel="0" collapsed="false">
      <c r="A77" s="50"/>
      <c r="B77" s="20"/>
      <c r="C77" s="21"/>
      <c r="D77" s="21"/>
      <c r="E77" s="22"/>
      <c r="F77" s="53"/>
      <c r="G77" s="24"/>
      <c r="H77" s="25"/>
      <c r="I77" s="26"/>
      <c r="J77" s="27"/>
      <c r="K77" s="52"/>
      <c r="L77" s="20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9"/>
      <c r="AA77" s="39"/>
      <c r="AB77" s="40"/>
      <c r="AC77" s="45"/>
      <c r="AD77" s="2"/>
      <c r="AE77" s="2"/>
      <c r="AF77" s="2"/>
      <c r="AG77" s="2"/>
      <c r="AH77" s="2"/>
      <c r="AI77" s="2"/>
      <c r="AJ77" s="2"/>
      <c r="AK77" s="2"/>
      <c r="AL77" s="54"/>
      <c r="AM77" s="54"/>
      <c r="AN77" s="54"/>
      <c r="AO77" s="54"/>
    </row>
    <row r="78" customFormat="false" ht="27.75" hidden="false" customHeight="true" outlineLevel="0" collapsed="false">
      <c r="A78" s="50"/>
      <c r="B78" s="20"/>
      <c r="C78" s="21"/>
      <c r="D78" s="21"/>
      <c r="E78" s="22"/>
      <c r="F78" s="53"/>
      <c r="G78" s="24"/>
      <c r="H78" s="25"/>
      <c r="I78" s="26"/>
      <c r="J78" s="27"/>
      <c r="K78" s="52"/>
      <c r="L78" s="20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/>
      <c r="AA78" s="39"/>
      <c r="AB78" s="40"/>
      <c r="AC78" s="45"/>
      <c r="AD78" s="2"/>
      <c r="AE78" s="2"/>
      <c r="AF78" s="2"/>
      <c r="AG78" s="2"/>
      <c r="AH78" s="2"/>
      <c r="AI78" s="2"/>
      <c r="AJ78" s="2"/>
      <c r="AK78" s="2"/>
      <c r="AL78" s="54"/>
      <c r="AM78" s="54"/>
      <c r="AN78" s="54"/>
      <c r="AO78" s="54"/>
    </row>
    <row r="79" customFormat="false" ht="27.75" hidden="false" customHeight="true" outlineLevel="0" collapsed="false">
      <c r="A79" s="50"/>
      <c r="B79" s="20"/>
      <c r="C79" s="21"/>
      <c r="D79" s="21"/>
      <c r="E79" s="22"/>
      <c r="F79" s="53"/>
      <c r="G79" s="24"/>
      <c r="H79" s="25"/>
      <c r="I79" s="26"/>
      <c r="J79" s="27"/>
      <c r="K79" s="52"/>
      <c r="L79" s="20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39"/>
      <c r="AA79" s="39"/>
      <c r="AB79" s="40"/>
      <c r="AC79" s="45"/>
      <c r="AD79" s="2"/>
      <c r="AE79" s="2"/>
      <c r="AF79" s="2"/>
      <c r="AG79" s="2"/>
      <c r="AH79" s="2"/>
      <c r="AI79" s="2"/>
      <c r="AJ79" s="2"/>
      <c r="AK79" s="2"/>
      <c r="AL79" s="54"/>
      <c r="AM79" s="54"/>
      <c r="AN79" s="54"/>
      <c r="AO79" s="54"/>
    </row>
    <row r="80" customFormat="false" ht="27.75" hidden="false" customHeight="true" outlineLevel="0" collapsed="false">
      <c r="A80" s="50"/>
      <c r="B80" s="20"/>
      <c r="C80" s="21"/>
      <c r="D80" s="21"/>
      <c r="E80" s="22"/>
      <c r="F80" s="53"/>
      <c r="G80" s="24"/>
      <c r="H80" s="25"/>
      <c r="I80" s="26"/>
      <c r="J80" s="27"/>
      <c r="K80" s="52"/>
      <c r="L80" s="20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9"/>
      <c r="AA80" s="39"/>
      <c r="AB80" s="40"/>
      <c r="AC80" s="45"/>
      <c r="AD80" s="2"/>
      <c r="AE80" s="2"/>
      <c r="AF80" s="2"/>
      <c r="AG80" s="2"/>
      <c r="AH80" s="2"/>
      <c r="AI80" s="2"/>
      <c r="AJ80" s="2"/>
      <c r="AK80" s="2"/>
      <c r="AL80" s="54"/>
      <c r="AM80" s="54"/>
      <c r="AN80" s="54"/>
      <c r="AO80" s="54"/>
    </row>
    <row r="81" customFormat="false" ht="27.75" hidden="false" customHeight="true" outlineLevel="0" collapsed="false">
      <c r="A81" s="50"/>
      <c r="B81" s="20"/>
      <c r="C81" s="21"/>
      <c r="D81" s="21"/>
      <c r="E81" s="22"/>
      <c r="F81" s="53"/>
      <c r="G81" s="24"/>
      <c r="H81" s="25"/>
      <c r="I81" s="26"/>
      <c r="J81" s="27"/>
      <c r="K81" s="52"/>
      <c r="L81" s="20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39"/>
      <c r="AA81" s="39"/>
      <c r="AB81" s="40"/>
      <c r="AC81" s="45"/>
      <c r="AD81" s="2"/>
      <c r="AE81" s="2"/>
      <c r="AF81" s="2"/>
      <c r="AG81" s="2"/>
      <c r="AH81" s="2"/>
      <c r="AI81" s="2"/>
      <c r="AJ81" s="2"/>
      <c r="AK81" s="2"/>
      <c r="AL81" s="54"/>
      <c r="AM81" s="54"/>
      <c r="AN81" s="54"/>
      <c r="AO81" s="54"/>
    </row>
    <row r="82" customFormat="false" ht="27.75" hidden="false" customHeight="true" outlineLevel="0" collapsed="false">
      <c r="A82" s="50"/>
      <c r="B82" s="20"/>
      <c r="C82" s="21"/>
      <c r="D82" s="21"/>
      <c r="E82" s="22"/>
      <c r="F82" s="53"/>
      <c r="G82" s="24"/>
      <c r="H82" s="25"/>
      <c r="I82" s="26"/>
      <c r="J82" s="27"/>
      <c r="K82" s="52"/>
      <c r="L82" s="20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39"/>
      <c r="AA82" s="39"/>
      <c r="AB82" s="40"/>
      <c r="AC82" s="45"/>
      <c r="AD82" s="2"/>
      <c r="AE82" s="2"/>
      <c r="AF82" s="2"/>
      <c r="AG82" s="2"/>
      <c r="AH82" s="2"/>
      <c r="AI82" s="2"/>
      <c r="AJ82" s="2"/>
      <c r="AK82" s="2"/>
      <c r="AL82" s="54"/>
      <c r="AM82" s="54"/>
      <c r="AN82" s="54"/>
      <c r="AO82" s="54"/>
    </row>
    <row r="83" customFormat="false" ht="27.75" hidden="false" customHeight="true" outlineLevel="0" collapsed="false">
      <c r="A83" s="50"/>
      <c r="B83" s="20"/>
      <c r="C83" s="21"/>
      <c r="D83" s="21"/>
      <c r="E83" s="22"/>
      <c r="F83" s="53"/>
      <c r="G83" s="24"/>
      <c r="H83" s="25"/>
      <c r="I83" s="26"/>
      <c r="J83" s="27"/>
      <c r="K83" s="52"/>
      <c r="L83" s="20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  <c r="Z83" s="39"/>
      <c r="AA83" s="39"/>
      <c r="AB83" s="40"/>
      <c r="AC83" s="45"/>
      <c r="AD83" s="2"/>
      <c r="AE83" s="2"/>
      <c r="AF83" s="2"/>
      <c r="AG83" s="2"/>
      <c r="AH83" s="2"/>
      <c r="AI83" s="2"/>
      <c r="AJ83" s="2"/>
      <c r="AK83" s="2"/>
      <c r="AL83" s="54"/>
      <c r="AM83" s="54"/>
      <c r="AN83" s="54"/>
      <c r="AO83" s="54"/>
    </row>
    <row r="84" customFormat="false" ht="27.75" hidden="false" customHeight="true" outlineLevel="0" collapsed="false">
      <c r="A84" s="50"/>
      <c r="B84" s="20"/>
      <c r="C84" s="21"/>
      <c r="D84" s="21"/>
      <c r="E84" s="22"/>
      <c r="F84" s="53"/>
      <c r="G84" s="24"/>
      <c r="H84" s="25"/>
      <c r="I84" s="26"/>
      <c r="J84" s="27"/>
      <c r="K84" s="52"/>
      <c r="L84" s="20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  <c r="Z84" s="39"/>
      <c r="AA84" s="39"/>
      <c r="AB84" s="40"/>
      <c r="AC84" s="45"/>
      <c r="AD84" s="2"/>
      <c r="AE84" s="2"/>
      <c r="AF84" s="2"/>
      <c r="AG84" s="2"/>
      <c r="AH84" s="2"/>
      <c r="AI84" s="2"/>
      <c r="AJ84" s="2"/>
      <c r="AK84" s="2"/>
      <c r="AL84" s="54"/>
      <c r="AM84" s="54"/>
      <c r="AN84" s="54"/>
      <c r="AO84" s="54"/>
    </row>
    <row r="85" customFormat="false" ht="27.75" hidden="false" customHeight="true" outlineLevel="0" collapsed="false">
      <c r="A85" s="50"/>
      <c r="B85" s="20"/>
      <c r="C85" s="21"/>
      <c r="D85" s="21"/>
      <c r="E85" s="22"/>
      <c r="F85" s="53"/>
      <c r="G85" s="24"/>
      <c r="H85" s="25"/>
      <c r="I85" s="26"/>
      <c r="J85" s="27"/>
      <c r="K85" s="52"/>
      <c r="L85" s="20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39"/>
      <c r="AA85" s="39"/>
      <c r="AB85" s="40"/>
      <c r="AC85" s="45"/>
      <c r="AD85" s="2"/>
      <c r="AE85" s="2"/>
      <c r="AF85" s="2"/>
      <c r="AG85" s="2"/>
      <c r="AH85" s="2"/>
      <c r="AI85" s="2"/>
      <c r="AJ85" s="2"/>
      <c r="AK85" s="2"/>
      <c r="AL85" s="54"/>
      <c r="AM85" s="54"/>
      <c r="AN85" s="54"/>
      <c r="AO85" s="54"/>
    </row>
    <row r="86" customFormat="false" ht="27.75" hidden="false" customHeight="true" outlineLevel="0" collapsed="false">
      <c r="A86" s="50"/>
      <c r="B86" s="20"/>
      <c r="C86" s="21"/>
      <c r="D86" s="21"/>
      <c r="E86" s="22"/>
      <c r="F86" s="53"/>
      <c r="G86" s="24"/>
      <c r="H86" s="25"/>
      <c r="I86" s="26"/>
      <c r="J86" s="27"/>
      <c r="K86" s="52"/>
      <c r="L86" s="20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9"/>
      <c r="AA86" s="39"/>
      <c r="AB86" s="40"/>
      <c r="AC86" s="45"/>
      <c r="AD86" s="2"/>
      <c r="AE86" s="2"/>
      <c r="AF86" s="2"/>
      <c r="AG86" s="2"/>
      <c r="AH86" s="2"/>
      <c r="AI86" s="2"/>
      <c r="AJ86" s="2"/>
      <c r="AK86" s="2"/>
      <c r="AL86" s="54"/>
      <c r="AM86" s="54"/>
      <c r="AN86" s="54"/>
      <c r="AO86" s="54"/>
    </row>
    <row r="87" customFormat="false" ht="27.75" hidden="false" customHeight="true" outlineLevel="0" collapsed="false">
      <c r="A87" s="50"/>
      <c r="B87" s="20"/>
      <c r="C87" s="21"/>
      <c r="D87" s="21"/>
      <c r="E87" s="22"/>
      <c r="F87" s="53"/>
      <c r="G87" s="24"/>
      <c r="H87" s="25"/>
      <c r="I87" s="26"/>
      <c r="J87" s="27"/>
      <c r="K87" s="52"/>
      <c r="L87" s="20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9"/>
      <c r="AA87" s="39"/>
      <c r="AB87" s="40"/>
      <c r="AC87" s="45"/>
      <c r="AD87" s="2"/>
      <c r="AE87" s="2"/>
      <c r="AF87" s="2"/>
      <c r="AG87" s="2"/>
      <c r="AH87" s="2"/>
      <c r="AI87" s="2"/>
      <c r="AJ87" s="2"/>
      <c r="AK87" s="2"/>
      <c r="AL87" s="54"/>
      <c r="AM87" s="54"/>
      <c r="AN87" s="54"/>
      <c r="AO87" s="54"/>
    </row>
    <row r="88" customFormat="false" ht="27.75" hidden="false" customHeight="true" outlineLevel="0" collapsed="false">
      <c r="A88" s="50"/>
      <c r="B88" s="20"/>
      <c r="C88" s="21"/>
      <c r="D88" s="21"/>
      <c r="E88" s="22"/>
      <c r="F88" s="53"/>
      <c r="G88" s="24"/>
      <c r="H88" s="25"/>
      <c r="I88" s="26"/>
      <c r="J88" s="27"/>
      <c r="K88" s="52"/>
      <c r="L88" s="20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9"/>
      <c r="AA88" s="39"/>
      <c r="AB88" s="40"/>
      <c r="AC88" s="45"/>
      <c r="AD88" s="2"/>
      <c r="AE88" s="2"/>
      <c r="AF88" s="2"/>
      <c r="AG88" s="2"/>
      <c r="AH88" s="2"/>
      <c r="AI88" s="2"/>
      <c r="AJ88" s="2"/>
      <c r="AK88" s="2"/>
      <c r="AL88" s="54"/>
      <c r="AM88" s="54"/>
      <c r="AN88" s="54"/>
      <c r="AO88" s="54"/>
    </row>
    <row r="89" customFormat="false" ht="27.75" hidden="false" customHeight="true" outlineLevel="0" collapsed="false">
      <c r="A89" s="50"/>
      <c r="B89" s="20"/>
      <c r="C89" s="21"/>
      <c r="D89" s="21"/>
      <c r="E89" s="22"/>
      <c r="F89" s="53"/>
      <c r="G89" s="24"/>
      <c r="H89" s="25"/>
      <c r="I89" s="26"/>
      <c r="J89" s="27"/>
      <c r="K89" s="52"/>
      <c r="L89" s="20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8"/>
      <c r="Z89" s="39"/>
      <c r="AA89" s="39"/>
      <c r="AB89" s="40"/>
      <c r="AC89" s="45"/>
      <c r="AD89" s="2"/>
      <c r="AE89" s="2"/>
      <c r="AF89" s="2"/>
      <c r="AG89" s="2"/>
      <c r="AH89" s="2"/>
      <c r="AI89" s="2"/>
      <c r="AJ89" s="2"/>
      <c r="AK89" s="2"/>
      <c r="AL89" s="54"/>
      <c r="AM89" s="54"/>
      <c r="AN89" s="54"/>
      <c r="AO89" s="54"/>
    </row>
    <row r="90" customFormat="false" ht="27.75" hidden="false" customHeight="true" outlineLevel="0" collapsed="false">
      <c r="A90" s="50"/>
      <c r="B90" s="20"/>
      <c r="C90" s="21"/>
      <c r="D90" s="21"/>
      <c r="E90" s="22"/>
      <c r="F90" s="53"/>
      <c r="G90" s="24"/>
      <c r="H90" s="25"/>
      <c r="I90" s="26"/>
      <c r="J90" s="27"/>
      <c r="K90" s="52"/>
      <c r="L90" s="20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8"/>
      <c r="Z90" s="39"/>
      <c r="AA90" s="39"/>
      <c r="AB90" s="40"/>
      <c r="AC90" s="45"/>
      <c r="AD90" s="2"/>
      <c r="AE90" s="2"/>
      <c r="AF90" s="2"/>
      <c r="AG90" s="2"/>
      <c r="AH90" s="2"/>
      <c r="AI90" s="2"/>
      <c r="AJ90" s="2"/>
      <c r="AK90" s="2"/>
      <c r="AL90" s="54"/>
      <c r="AM90" s="54"/>
      <c r="AN90" s="54"/>
      <c r="AO90" s="54"/>
    </row>
    <row r="91" customFormat="false" ht="27.75" hidden="false" customHeight="true" outlineLevel="0" collapsed="false">
      <c r="A91" s="50"/>
      <c r="B91" s="20"/>
      <c r="C91" s="21"/>
      <c r="D91" s="21"/>
      <c r="E91" s="22"/>
      <c r="F91" s="53"/>
      <c r="G91" s="24"/>
      <c r="H91" s="25"/>
      <c r="I91" s="26"/>
      <c r="J91" s="27"/>
      <c r="K91" s="52"/>
      <c r="L91" s="20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8"/>
      <c r="Z91" s="39"/>
      <c r="AA91" s="39"/>
      <c r="AB91" s="40"/>
      <c r="AC91" s="45"/>
      <c r="AD91" s="2"/>
      <c r="AE91" s="2"/>
      <c r="AF91" s="2"/>
      <c r="AG91" s="2"/>
      <c r="AH91" s="2"/>
      <c r="AI91" s="2"/>
      <c r="AJ91" s="2"/>
      <c r="AK91" s="2"/>
      <c r="AL91" s="54"/>
      <c r="AM91" s="54"/>
      <c r="AN91" s="54"/>
      <c r="AO91" s="54"/>
    </row>
    <row r="92" customFormat="false" ht="27.75" hidden="false" customHeight="true" outlineLevel="0" collapsed="false">
      <c r="A92" s="50"/>
      <c r="B92" s="20"/>
      <c r="C92" s="21"/>
      <c r="D92" s="21"/>
      <c r="E92" s="22"/>
      <c r="F92" s="53"/>
      <c r="G92" s="24"/>
      <c r="H92" s="25"/>
      <c r="I92" s="26"/>
      <c r="J92" s="27"/>
      <c r="K92" s="52"/>
      <c r="L92" s="20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9"/>
      <c r="AA92" s="39"/>
      <c r="AB92" s="40"/>
      <c r="AC92" s="45"/>
      <c r="AD92" s="2"/>
      <c r="AE92" s="2"/>
      <c r="AF92" s="2"/>
      <c r="AG92" s="2"/>
      <c r="AH92" s="2"/>
      <c r="AI92" s="2"/>
      <c r="AJ92" s="2"/>
      <c r="AK92" s="2"/>
      <c r="AL92" s="54"/>
      <c r="AM92" s="54"/>
      <c r="AN92" s="54"/>
      <c r="AO92" s="54"/>
    </row>
    <row r="93" customFormat="false" ht="27.75" hidden="false" customHeight="true" outlineLevel="0" collapsed="false">
      <c r="A93" s="50"/>
      <c r="B93" s="20"/>
      <c r="C93" s="21"/>
      <c r="D93" s="21"/>
      <c r="E93" s="22"/>
      <c r="F93" s="53"/>
      <c r="G93" s="24"/>
      <c r="H93" s="25"/>
      <c r="I93" s="26"/>
      <c r="J93" s="27"/>
      <c r="K93" s="52"/>
      <c r="L93" s="20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8"/>
      <c r="Z93" s="39"/>
      <c r="AA93" s="39"/>
      <c r="AB93" s="40"/>
      <c r="AC93" s="45"/>
      <c r="AD93" s="2"/>
      <c r="AE93" s="2"/>
      <c r="AF93" s="2"/>
      <c r="AG93" s="2"/>
      <c r="AH93" s="2"/>
      <c r="AI93" s="2"/>
      <c r="AJ93" s="2"/>
      <c r="AK93" s="2"/>
      <c r="AL93" s="54"/>
      <c r="AM93" s="54"/>
      <c r="AN93" s="54"/>
      <c r="AO93" s="54"/>
    </row>
    <row r="94" customFormat="false" ht="27.75" hidden="false" customHeight="true" outlineLevel="0" collapsed="false">
      <c r="A94" s="50"/>
      <c r="B94" s="20"/>
      <c r="C94" s="21"/>
      <c r="D94" s="21"/>
      <c r="E94" s="22"/>
      <c r="F94" s="53"/>
      <c r="G94" s="24"/>
      <c r="H94" s="25"/>
      <c r="I94" s="26"/>
      <c r="J94" s="27"/>
      <c r="K94" s="52"/>
      <c r="L94" s="20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8"/>
      <c r="Z94" s="39"/>
      <c r="AA94" s="39"/>
      <c r="AB94" s="40"/>
      <c r="AC94" s="45"/>
      <c r="AD94" s="2"/>
      <c r="AE94" s="2"/>
      <c r="AF94" s="2"/>
      <c r="AG94" s="2"/>
      <c r="AH94" s="2"/>
      <c r="AI94" s="2"/>
      <c r="AJ94" s="2"/>
      <c r="AK94" s="2"/>
      <c r="AL94" s="54"/>
      <c r="AM94" s="54"/>
      <c r="AN94" s="54"/>
      <c r="AO94" s="54"/>
    </row>
    <row r="95" customFormat="false" ht="27.75" hidden="false" customHeight="true" outlineLevel="0" collapsed="false">
      <c r="A95" s="50"/>
      <c r="B95" s="20"/>
      <c r="C95" s="21"/>
      <c r="D95" s="21"/>
      <c r="E95" s="22"/>
      <c r="F95" s="53"/>
      <c r="G95" s="24"/>
      <c r="H95" s="25"/>
      <c r="I95" s="26"/>
      <c r="J95" s="27"/>
      <c r="K95" s="52"/>
      <c r="L95" s="20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8"/>
      <c r="Z95" s="39"/>
      <c r="AA95" s="39"/>
      <c r="AB95" s="40"/>
      <c r="AC95" s="45"/>
      <c r="AD95" s="2"/>
      <c r="AE95" s="2"/>
      <c r="AF95" s="2"/>
      <c r="AG95" s="2"/>
      <c r="AH95" s="2"/>
      <c r="AI95" s="2"/>
      <c r="AJ95" s="2"/>
      <c r="AK95" s="2"/>
      <c r="AL95" s="54"/>
      <c r="AM95" s="54"/>
      <c r="AN95" s="54"/>
      <c r="AO95" s="54"/>
    </row>
    <row r="96" customFormat="false" ht="27.75" hidden="false" customHeight="true" outlineLevel="0" collapsed="false">
      <c r="A96" s="50"/>
      <c r="B96" s="20"/>
      <c r="C96" s="21"/>
      <c r="D96" s="21"/>
      <c r="E96" s="22"/>
      <c r="F96" s="53"/>
      <c r="G96" s="24"/>
      <c r="H96" s="25"/>
      <c r="I96" s="26"/>
      <c r="J96" s="27"/>
      <c r="K96" s="52"/>
      <c r="L96" s="20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8"/>
      <c r="Z96" s="39"/>
      <c r="AA96" s="39"/>
      <c r="AB96" s="40"/>
      <c r="AC96" s="45"/>
      <c r="AD96" s="2"/>
      <c r="AE96" s="2"/>
      <c r="AF96" s="2"/>
      <c r="AG96" s="2"/>
      <c r="AH96" s="2"/>
      <c r="AI96" s="2"/>
      <c r="AJ96" s="2"/>
      <c r="AK96" s="2"/>
      <c r="AL96" s="54"/>
      <c r="AM96" s="54"/>
      <c r="AN96" s="54"/>
      <c r="AO96" s="54"/>
    </row>
    <row r="97" customFormat="false" ht="27.75" hidden="false" customHeight="true" outlineLevel="0" collapsed="false">
      <c r="A97" s="50"/>
      <c r="B97" s="20"/>
      <c r="C97" s="21"/>
      <c r="D97" s="21"/>
      <c r="E97" s="22"/>
      <c r="F97" s="53"/>
      <c r="G97" s="24"/>
      <c r="H97" s="25"/>
      <c r="I97" s="26"/>
      <c r="J97" s="27"/>
      <c r="K97" s="52"/>
      <c r="L97" s="20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  <c r="Z97" s="39"/>
      <c r="AA97" s="39"/>
      <c r="AB97" s="40"/>
      <c r="AC97" s="45"/>
      <c r="AD97" s="2"/>
      <c r="AE97" s="2"/>
      <c r="AF97" s="2"/>
      <c r="AG97" s="2"/>
      <c r="AH97" s="2"/>
      <c r="AI97" s="2"/>
      <c r="AJ97" s="2"/>
      <c r="AK97" s="2"/>
      <c r="AL97" s="54"/>
      <c r="AM97" s="54"/>
      <c r="AN97" s="54"/>
      <c r="AO97" s="54"/>
    </row>
    <row r="98" customFormat="false" ht="27.75" hidden="false" customHeight="true" outlineLevel="0" collapsed="false">
      <c r="A98" s="19"/>
      <c r="B98" s="20"/>
      <c r="C98" s="21"/>
      <c r="D98" s="21"/>
      <c r="E98" s="22"/>
      <c r="F98" s="53"/>
      <c r="G98" s="24"/>
      <c r="H98" s="25"/>
      <c r="I98" s="26"/>
      <c r="J98" s="27"/>
      <c r="K98" s="52"/>
      <c r="L98" s="20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8"/>
      <c r="Z98" s="39"/>
      <c r="AA98" s="39"/>
      <c r="AB98" s="40"/>
      <c r="AC98" s="45"/>
      <c r="AD98" s="2"/>
      <c r="AE98" s="2"/>
      <c r="AF98" s="2"/>
      <c r="AG98" s="2"/>
      <c r="AH98" s="2"/>
      <c r="AI98" s="2"/>
      <c r="AJ98" s="2"/>
      <c r="AK98" s="2"/>
      <c r="AL98" s="54"/>
      <c r="AM98" s="54"/>
      <c r="AN98" s="54"/>
      <c r="AO98" s="54"/>
    </row>
    <row r="99" customFormat="false" ht="27.75" hidden="false" customHeight="true" outlineLevel="0" collapsed="false">
      <c r="A99" s="34"/>
      <c r="B99" s="20"/>
      <c r="C99" s="21"/>
      <c r="D99" s="21"/>
      <c r="E99" s="22"/>
      <c r="F99" s="53"/>
      <c r="G99" s="24"/>
      <c r="H99" s="25"/>
      <c r="I99" s="26"/>
      <c r="J99" s="27"/>
      <c r="K99" s="52"/>
      <c r="L99" s="20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8"/>
      <c r="Z99" s="39"/>
      <c r="AA99" s="39"/>
      <c r="AB99" s="40"/>
      <c r="AC99" s="45"/>
      <c r="AD99" s="2"/>
      <c r="AE99" s="2"/>
      <c r="AF99" s="2"/>
      <c r="AG99" s="2"/>
      <c r="AH99" s="2"/>
      <c r="AI99" s="2"/>
      <c r="AJ99" s="2"/>
      <c r="AK99" s="2"/>
      <c r="AL99" s="54"/>
      <c r="AM99" s="54"/>
      <c r="AN99" s="54"/>
      <c r="AO99" s="54"/>
    </row>
    <row r="100" customFormat="false" ht="27.75" hidden="false" customHeight="true" outlineLevel="0" collapsed="false">
      <c r="A100" s="50"/>
      <c r="B100" s="20"/>
      <c r="C100" s="21"/>
      <c r="D100" s="21"/>
      <c r="E100" s="22"/>
      <c r="F100" s="53"/>
      <c r="G100" s="24"/>
      <c r="H100" s="25"/>
      <c r="I100" s="26"/>
      <c r="J100" s="27"/>
      <c r="K100" s="52"/>
      <c r="L100" s="20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8"/>
      <c r="Z100" s="39"/>
      <c r="AA100" s="39"/>
      <c r="AB100" s="40"/>
      <c r="AC100" s="45"/>
      <c r="AD100" s="2"/>
      <c r="AE100" s="2"/>
      <c r="AF100" s="2"/>
      <c r="AG100" s="2"/>
      <c r="AH100" s="2"/>
      <c r="AI100" s="2"/>
      <c r="AJ100" s="2"/>
      <c r="AK100" s="2"/>
      <c r="AL100" s="54"/>
      <c r="AM100" s="54"/>
      <c r="AN100" s="54"/>
      <c r="AO100" s="54"/>
    </row>
    <row r="101" customFormat="false" ht="27.75" hidden="false" customHeight="true" outlineLevel="0" collapsed="false">
      <c r="A101" s="50"/>
      <c r="B101" s="20"/>
      <c r="C101" s="21"/>
      <c r="D101" s="21"/>
      <c r="E101" s="22"/>
      <c r="F101" s="53"/>
      <c r="G101" s="24"/>
      <c r="H101" s="25"/>
      <c r="I101" s="26"/>
      <c r="J101" s="27"/>
      <c r="K101" s="52"/>
      <c r="L101" s="20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  <c r="Z101" s="39"/>
      <c r="AA101" s="39"/>
      <c r="AB101" s="40"/>
      <c r="AC101" s="45"/>
      <c r="AD101" s="2"/>
      <c r="AE101" s="2"/>
      <c r="AF101" s="2"/>
      <c r="AG101" s="2"/>
      <c r="AH101" s="2"/>
      <c r="AI101" s="2"/>
      <c r="AJ101" s="2"/>
      <c r="AK101" s="2"/>
      <c r="AL101" s="54"/>
      <c r="AM101" s="54"/>
      <c r="AN101" s="54"/>
      <c r="AO101" s="54"/>
    </row>
    <row r="102" customFormat="false" ht="27.75" hidden="false" customHeight="true" outlineLevel="0" collapsed="false">
      <c r="A102" s="50"/>
      <c r="B102" s="20"/>
      <c r="C102" s="21"/>
      <c r="D102" s="21"/>
      <c r="E102" s="22"/>
      <c r="F102" s="53"/>
      <c r="G102" s="24"/>
      <c r="H102" s="25"/>
      <c r="I102" s="26"/>
      <c r="J102" s="27"/>
      <c r="K102" s="52"/>
      <c r="L102" s="20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8"/>
      <c r="Z102" s="39"/>
      <c r="AA102" s="39"/>
      <c r="AB102" s="40"/>
      <c r="AC102" s="45"/>
      <c r="AD102" s="2"/>
      <c r="AE102" s="2"/>
      <c r="AF102" s="2"/>
      <c r="AG102" s="2"/>
      <c r="AH102" s="2"/>
      <c r="AI102" s="2"/>
      <c r="AJ102" s="2"/>
      <c r="AK102" s="2"/>
      <c r="AL102" s="54"/>
      <c r="AM102" s="54"/>
      <c r="AN102" s="54"/>
      <c r="AO102" s="54"/>
    </row>
    <row r="103" customFormat="false" ht="27.75" hidden="false" customHeight="true" outlineLevel="0" collapsed="false">
      <c r="A103" s="50"/>
      <c r="B103" s="20"/>
      <c r="C103" s="21"/>
      <c r="D103" s="21"/>
      <c r="E103" s="22"/>
      <c r="F103" s="53"/>
      <c r="G103" s="24"/>
      <c r="H103" s="25"/>
      <c r="I103" s="26"/>
      <c r="J103" s="27"/>
      <c r="K103" s="52"/>
      <c r="L103" s="20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  <c r="Z103" s="39"/>
      <c r="AA103" s="39"/>
      <c r="AB103" s="40"/>
      <c r="AC103" s="45"/>
      <c r="AD103" s="2"/>
      <c r="AE103" s="2"/>
      <c r="AF103" s="2"/>
      <c r="AG103" s="2"/>
      <c r="AH103" s="2"/>
      <c r="AI103" s="2"/>
      <c r="AJ103" s="2"/>
      <c r="AK103" s="2"/>
      <c r="AL103" s="54"/>
      <c r="AM103" s="54"/>
      <c r="AN103" s="54"/>
      <c r="AO103" s="54"/>
    </row>
    <row r="104" customFormat="false" ht="27.75" hidden="false" customHeight="true" outlineLevel="0" collapsed="false">
      <c r="A104" s="50"/>
      <c r="B104" s="20"/>
      <c r="C104" s="21"/>
      <c r="D104" s="21"/>
      <c r="E104" s="22"/>
      <c r="F104" s="53"/>
      <c r="G104" s="55"/>
      <c r="H104" s="56"/>
      <c r="I104" s="57"/>
      <c r="J104" s="58"/>
      <c r="K104" s="52"/>
      <c r="L104" s="20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  <c r="Z104" s="39"/>
      <c r="AA104" s="39"/>
      <c r="AB104" s="40"/>
      <c r="AC104" s="45"/>
      <c r="AD104" s="2"/>
      <c r="AE104" s="2"/>
      <c r="AF104" s="2"/>
      <c r="AG104" s="2"/>
      <c r="AH104" s="2"/>
      <c r="AI104" s="2"/>
      <c r="AJ104" s="2"/>
      <c r="AK104" s="2"/>
      <c r="AL104" s="54"/>
      <c r="AM104" s="54"/>
      <c r="AN104" s="54"/>
      <c r="AO104" s="54"/>
    </row>
    <row r="105" customFormat="false" ht="27.75" hidden="false" customHeight="true" outlineLevel="0" collapsed="false">
      <c r="A105" s="50"/>
      <c r="B105" s="20"/>
      <c r="C105" s="59"/>
      <c r="D105" s="21"/>
      <c r="E105" s="22"/>
      <c r="F105" s="53"/>
      <c r="G105" s="60"/>
      <c r="H105" s="61"/>
      <c r="I105" s="62"/>
      <c r="J105" s="63"/>
      <c r="K105" s="64"/>
      <c r="L105" s="20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8"/>
      <c r="Z105" s="39"/>
      <c r="AA105" s="39"/>
      <c r="AB105" s="39"/>
      <c r="AC105" s="45"/>
      <c r="AD105" s="2"/>
      <c r="AE105" s="2"/>
      <c r="AF105" s="2"/>
      <c r="AG105" s="2"/>
      <c r="AH105" s="2"/>
      <c r="AI105" s="2"/>
      <c r="AJ105" s="2"/>
      <c r="AK105" s="2"/>
      <c r="AL105" s="54"/>
      <c r="AM105" s="54"/>
      <c r="AN105" s="54"/>
      <c r="AO105" s="54"/>
    </row>
    <row r="106" customFormat="false" ht="27.75" hidden="false" customHeight="true" outlineLevel="0" collapsed="false">
      <c r="A106" s="50"/>
      <c r="B106" s="65"/>
      <c r="C106" s="59"/>
      <c r="D106" s="66"/>
      <c r="E106" s="67"/>
      <c r="F106" s="53"/>
      <c r="G106" s="60"/>
      <c r="H106" s="61"/>
      <c r="I106" s="62"/>
      <c r="J106" s="63"/>
      <c r="K106" s="64"/>
      <c r="L106" s="65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38"/>
      <c r="Z106" s="39"/>
      <c r="AA106" s="39"/>
      <c r="AB106" s="39"/>
      <c r="AC106" s="45"/>
      <c r="AD106" s="2"/>
      <c r="AE106" s="2"/>
      <c r="AF106" s="2"/>
      <c r="AG106" s="2"/>
      <c r="AH106" s="2"/>
      <c r="AI106" s="2"/>
      <c r="AJ106" s="2"/>
      <c r="AK106" s="2"/>
      <c r="AL106" s="54"/>
      <c r="AM106" s="54"/>
      <c r="AN106" s="54"/>
      <c r="AO106" s="54"/>
    </row>
    <row r="107" customFormat="false" ht="27.75" hidden="false" customHeight="true" outlineLevel="0" collapsed="false">
      <c r="A107" s="50"/>
      <c r="B107" s="65"/>
      <c r="C107" s="59"/>
      <c r="D107" s="66"/>
      <c r="E107" s="67"/>
      <c r="F107" s="53"/>
      <c r="G107" s="60"/>
      <c r="H107" s="61"/>
      <c r="I107" s="62"/>
      <c r="J107" s="63"/>
      <c r="K107" s="64"/>
      <c r="L107" s="65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38"/>
      <c r="Z107" s="39"/>
      <c r="AA107" s="39"/>
      <c r="AB107" s="39"/>
      <c r="AC107" s="45"/>
      <c r="AD107" s="2"/>
      <c r="AE107" s="2"/>
      <c r="AF107" s="2"/>
      <c r="AG107" s="2"/>
      <c r="AH107" s="2"/>
      <c r="AI107" s="2"/>
      <c r="AJ107" s="2"/>
      <c r="AK107" s="2"/>
      <c r="AL107" s="54"/>
      <c r="AM107" s="54"/>
      <c r="AN107" s="54"/>
      <c r="AO107" s="54"/>
    </row>
    <row r="108" customFormat="false" ht="27.75" hidden="false" customHeight="true" outlineLevel="0" collapsed="false">
      <c r="A108" s="50"/>
      <c r="B108" s="65"/>
      <c r="C108" s="59"/>
      <c r="D108" s="66"/>
      <c r="E108" s="67"/>
      <c r="F108" s="53"/>
      <c r="G108" s="60"/>
      <c r="H108" s="61"/>
      <c r="I108" s="62"/>
      <c r="J108" s="63"/>
      <c r="K108" s="64"/>
      <c r="L108" s="65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38"/>
      <c r="Z108" s="39"/>
      <c r="AA108" s="39"/>
      <c r="AB108" s="39"/>
      <c r="AC108" s="45"/>
      <c r="AD108" s="2"/>
      <c r="AE108" s="2"/>
      <c r="AF108" s="2"/>
      <c r="AG108" s="2"/>
      <c r="AH108" s="2"/>
      <c r="AI108" s="2"/>
      <c r="AJ108" s="2"/>
      <c r="AK108" s="2"/>
      <c r="AL108" s="54"/>
      <c r="AM108" s="54"/>
      <c r="AN108" s="54"/>
      <c r="AO108" s="54"/>
    </row>
    <row r="109" customFormat="false" ht="27.75" hidden="false" customHeight="true" outlineLevel="0" collapsed="false">
      <c r="A109" s="50"/>
      <c r="B109" s="65"/>
      <c r="C109" s="59"/>
      <c r="D109" s="66"/>
      <c r="E109" s="67"/>
      <c r="F109" s="53"/>
      <c r="G109" s="60"/>
      <c r="H109" s="61"/>
      <c r="I109" s="62"/>
      <c r="J109" s="63"/>
      <c r="K109" s="64"/>
      <c r="L109" s="65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38"/>
      <c r="Z109" s="39"/>
      <c r="AA109" s="39"/>
      <c r="AB109" s="39"/>
      <c r="AC109" s="45"/>
      <c r="AD109" s="2"/>
      <c r="AE109" s="2"/>
      <c r="AF109" s="2"/>
      <c r="AG109" s="2"/>
      <c r="AH109" s="2"/>
      <c r="AI109" s="2"/>
      <c r="AJ109" s="2"/>
      <c r="AK109" s="2"/>
      <c r="AL109" s="54"/>
      <c r="AM109" s="54"/>
      <c r="AN109" s="54"/>
      <c r="AO109" s="54"/>
    </row>
    <row r="110" customFormat="false" ht="27.75" hidden="false" customHeight="true" outlineLevel="0" collapsed="false">
      <c r="A110" s="69"/>
      <c r="B110" s="70"/>
      <c r="C110" s="59"/>
      <c r="D110" s="71"/>
      <c r="E110" s="72"/>
      <c r="F110" s="73"/>
      <c r="G110" s="74"/>
      <c r="H110" s="75"/>
      <c r="I110" s="76"/>
      <c r="J110" s="77"/>
      <c r="K110" s="78"/>
      <c r="L110" s="70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  <c r="Z110" s="81"/>
      <c r="AA110" s="81"/>
      <c r="AB110" s="81"/>
      <c r="AC110" s="82"/>
      <c r="AD110" s="2"/>
      <c r="AE110" s="2"/>
      <c r="AF110" s="2"/>
      <c r="AG110" s="2"/>
      <c r="AH110" s="2"/>
      <c r="AI110" s="2"/>
      <c r="AJ110" s="2"/>
      <c r="AK110" s="2"/>
      <c r="AL110" s="54"/>
      <c r="AM110" s="54"/>
      <c r="AN110" s="54"/>
      <c r="AO110" s="54"/>
    </row>
    <row r="111" customFormat="false" ht="11.25" hidden="false" customHeight="true" outlineLevel="0" collapsed="false">
      <c r="A111" s="83"/>
      <c r="B111" s="84"/>
      <c r="C111" s="85"/>
      <c r="D111" s="86"/>
      <c r="E111" s="87"/>
      <c r="F111" s="88"/>
      <c r="G111" s="89"/>
      <c r="H111" s="89"/>
      <c r="I111" s="89"/>
      <c r="J111" s="89"/>
      <c r="K111" s="90"/>
      <c r="L111" s="9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92"/>
      <c r="AD111" s="2"/>
      <c r="AE111" s="2"/>
      <c r="AF111" s="2"/>
      <c r="AG111" s="2"/>
      <c r="AH111" s="2"/>
      <c r="AI111" s="2"/>
      <c r="AJ111" s="2"/>
      <c r="AK111" s="2"/>
      <c r="AL111" s="54"/>
      <c r="AM111" s="54"/>
      <c r="AN111" s="54"/>
      <c r="AO111" s="54"/>
    </row>
    <row r="112" customFormat="false" ht="11.25" hidden="false" customHeight="true" outlineLevel="0" collapsed="false">
      <c r="A112" s="83"/>
      <c r="B112" s="84"/>
      <c r="C112" s="85"/>
      <c r="D112" s="93"/>
      <c r="E112" s="85"/>
      <c r="F112" s="88"/>
      <c r="G112" s="89"/>
      <c r="H112" s="89"/>
      <c r="I112" s="89"/>
      <c r="J112" s="89"/>
      <c r="K112" s="90"/>
      <c r="L112" s="9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92"/>
      <c r="AD112" s="2"/>
      <c r="AE112" s="2"/>
      <c r="AF112" s="2"/>
      <c r="AG112" s="2"/>
      <c r="AH112" s="2"/>
      <c r="AI112" s="2"/>
      <c r="AJ112" s="2"/>
      <c r="AK112" s="2"/>
      <c r="AL112" s="54"/>
      <c r="AM112" s="54"/>
      <c r="AN112" s="54"/>
      <c r="AO112" s="54"/>
    </row>
    <row r="113" customFormat="false" ht="11.25" hidden="false" customHeight="true" outlineLevel="0" collapsed="false">
      <c r="A113" s="83"/>
      <c r="B113" s="84"/>
      <c r="C113" s="85"/>
      <c r="D113" s="93"/>
      <c r="E113" s="85"/>
      <c r="F113" s="88"/>
      <c r="G113" s="89"/>
      <c r="H113" s="89"/>
      <c r="I113" s="89"/>
      <c r="J113" s="89"/>
      <c r="K113" s="90"/>
      <c r="L113" s="9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92"/>
      <c r="AD113" s="2"/>
      <c r="AE113" s="2"/>
      <c r="AF113" s="2"/>
      <c r="AG113" s="2"/>
      <c r="AH113" s="2"/>
      <c r="AI113" s="2"/>
      <c r="AJ113" s="2"/>
      <c r="AK113" s="2"/>
      <c r="AL113" s="54"/>
      <c r="AM113" s="54"/>
      <c r="AN113" s="54"/>
      <c r="AO113" s="54"/>
    </row>
    <row r="114" customFormat="false" ht="11.25" hidden="false" customHeight="true" outlineLevel="0" collapsed="false">
      <c r="A114" s="83"/>
      <c r="B114" s="84"/>
      <c r="C114" s="85"/>
      <c r="D114" s="93"/>
      <c r="E114" s="85"/>
      <c r="F114" s="88"/>
      <c r="G114" s="89"/>
      <c r="H114" s="89"/>
      <c r="I114" s="89"/>
      <c r="J114" s="89"/>
      <c r="K114" s="90"/>
      <c r="L114" s="9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92"/>
      <c r="AD114" s="2"/>
      <c r="AE114" s="2"/>
      <c r="AF114" s="2"/>
      <c r="AG114" s="2"/>
      <c r="AH114" s="2"/>
      <c r="AI114" s="2"/>
      <c r="AJ114" s="2"/>
      <c r="AK114" s="2"/>
      <c r="AL114" s="54"/>
      <c r="AM114" s="54"/>
      <c r="AN114" s="54"/>
      <c r="AO114" s="54"/>
    </row>
    <row r="115" customFormat="false" ht="11.25" hidden="false" customHeight="true" outlineLevel="0" collapsed="false">
      <c r="A115" s="83"/>
      <c r="B115" s="84"/>
      <c r="C115" s="85"/>
      <c r="D115" s="93"/>
      <c r="E115" s="85"/>
      <c r="F115" s="88"/>
      <c r="G115" s="89"/>
      <c r="H115" s="89"/>
      <c r="I115" s="89"/>
      <c r="J115" s="89"/>
      <c r="K115" s="90"/>
      <c r="L115" s="9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92"/>
      <c r="AD115" s="2"/>
      <c r="AE115" s="2"/>
      <c r="AF115" s="2"/>
      <c r="AG115" s="2"/>
      <c r="AH115" s="2"/>
      <c r="AI115" s="2"/>
      <c r="AJ115" s="2"/>
      <c r="AK115" s="2"/>
      <c r="AL115" s="54"/>
      <c r="AM115" s="54"/>
      <c r="AN115" s="54"/>
      <c r="AO115" s="54"/>
    </row>
    <row r="116" customFormat="false" ht="11.25" hidden="false" customHeight="true" outlineLevel="0" collapsed="false">
      <c r="A116" s="83"/>
      <c r="B116" s="84"/>
      <c r="C116" s="85"/>
      <c r="D116" s="93"/>
      <c r="E116" s="85"/>
      <c r="F116" s="88"/>
      <c r="G116" s="89"/>
      <c r="H116" s="89"/>
      <c r="I116" s="89"/>
      <c r="J116" s="89"/>
      <c r="K116" s="90"/>
      <c r="L116" s="9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92"/>
      <c r="AD116" s="2"/>
      <c r="AE116" s="2"/>
      <c r="AF116" s="2"/>
      <c r="AG116" s="2"/>
      <c r="AH116" s="2"/>
      <c r="AI116" s="2"/>
      <c r="AJ116" s="2"/>
      <c r="AK116" s="2"/>
      <c r="AL116" s="54"/>
      <c r="AM116" s="54"/>
      <c r="AN116" s="54"/>
      <c r="AO116" s="54"/>
    </row>
    <row r="117" customFormat="false" ht="11.25" hidden="false" customHeight="true" outlineLevel="0" collapsed="false">
      <c r="A117" s="83"/>
      <c r="B117" s="84"/>
      <c r="C117" s="85"/>
      <c r="D117" s="93"/>
      <c r="E117" s="85"/>
      <c r="F117" s="88"/>
      <c r="G117" s="89"/>
      <c r="H117" s="89"/>
      <c r="I117" s="89"/>
      <c r="J117" s="89"/>
      <c r="K117" s="90"/>
      <c r="L117" s="9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92"/>
      <c r="AD117" s="2"/>
      <c r="AE117" s="2"/>
      <c r="AF117" s="2"/>
      <c r="AG117" s="2"/>
      <c r="AH117" s="2"/>
      <c r="AI117" s="2"/>
      <c r="AJ117" s="2"/>
      <c r="AK117" s="2"/>
      <c r="AL117" s="54"/>
      <c r="AM117" s="54"/>
      <c r="AN117" s="54"/>
      <c r="AO117" s="54"/>
    </row>
    <row r="118" customFormat="false" ht="11.25" hidden="false" customHeight="true" outlineLevel="0" collapsed="false">
      <c r="A118" s="83"/>
      <c r="B118" s="84"/>
      <c r="C118" s="85"/>
      <c r="D118" s="93"/>
      <c r="E118" s="85"/>
      <c r="F118" s="88"/>
      <c r="G118" s="89"/>
      <c r="H118" s="89"/>
      <c r="I118" s="89"/>
      <c r="J118" s="89"/>
      <c r="K118" s="90"/>
      <c r="L118" s="9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92"/>
      <c r="AD118" s="2"/>
      <c r="AE118" s="2"/>
      <c r="AF118" s="2"/>
      <c r="AG118" s="2"/>
      <c r="AH118" s="2"/>
      <c r="AI118" s="2"/>
      <c r="AJ118" s="2"/>
      <c r="AK118" s="2"/>
      <c r="AL118" s="54"/>
      <c r="AM118" s="54"/>
      <c r="AN118" s="54"/>
      <c r="AO118" s="54"/>
    </row>
    <row r="119" customFormat="false" ht="11.25" hidden="false" customHeight="true" outlineLevel="0" collapsed="false">
      <c r="A119" s="83"/>
      <c r="B119" s="84"/>
      <c r="C119" s="85"/>
      <c r="D119" s="93"/>
      <c r="E119" s="85"/>
      <c r="F119" s="88"/>
      <c r="G119" s="89"/>
      <c r="H119" s="89"/>
      <c r="I119" s="89"/>
      <c r="J119" s="89"/>
      <c r="K119" s="90"/>
      <c r="L119" s="9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92"/>
      <c r="AD119" s="2"/>
      <c r="AE119" s="2"/>
      <c r="AF119" s="2"/>
      <c r="AG119" s="2"/>
      <c r="AH119" s="2"/>
      <c r="AI119" s="2"/>
      <c r="AJ119" s="2"/>
      <c r="AK119" s="2"/>
      <c r="AL119" s="54"/>
      <c r="AM119" s="54"/>
      <c r="AN119" s="54"/>
      <c r="AO119" s="54"/>
    </row>
    <row r="120" customFormat="false" ht="11.25" hidden="false" customHeight="true" outlineLevel="0" collapsed="false">
      <c r="A120" s="83"/>
      <c r="B120" s="84"/>
      <c r="C120" s="85"/>
      <c r="D120" s="93"/>
      <c r="E120" s="85"/>
      <c r="F120" s="88"/>
      <c r="G120" s="89"/>
      <c r="H120" s="89"/>
      <c r="I120" s="89"/>
      <c r="J120" s="89"/>
      <c r="K120" s="90"/>
      <c r="L120" s="9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92"/>
      <c r="AD120" s="2"/>
      <c r="AE120" s="2"/>
      <c r="AF120" s="2"/>
      <c r="AG120" s="2"/>
      <c r="AH120" s="2"/>
      <c r="AI120" s="2"/>
      <c r="AJ120" s="2"/>
      <c r="AK120" s="2"/>
      <c r="AL120" s="54"/>
      <c r="AM120" s="54"/>
      <c r="AN120" s="54"/>
      <c r="AO120" s="54"/>
    </row>
    <row r="121" customFormat="false" ht="11.25" hidden="false" customHeight="true" outlineLevel="0" collapsed="false">
      <c r="A121" s="83"/>
      <c r="B121" s="84"/>
      <c r="C121" s="85"/>
      <c r="D121" s="93"/>
      <c r="E121" s="85"/>
      <c r="F121" s="88"/>
      <c r="G121" s="89"/>
      <c r="H121" s="89"/>
      <c r="I121" s="89"/>
      <c r="J121" s="89"/>
      <c r="K121" s="90"/>
      <c r="L121" s="9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92"/>
      <c r="AD121" s="2"/>
      <c r="AE121" s="2"/>
      <c r="AF121" s="2"/>
      <c r="AG121" s="2"/>
      <c r="AH121" s="2"/>
      <c r="AI121" s="2"/>
      <c r="AJ121" s="2"/>
      <c r="AK121" s="2"/>
      <c r="AL121" s="54"/>
      <c r="AM121" s="54"/>
      <c r="AN121" s="54"/>
      <c r="AO121" s="54"/>
    </row>
    <row r="122" customFormat="false" ht="11.25" hidden="false" customHeight="true" outlineLevel="0" collapsed="false">
      <c r="A122" s="83"/>
      <c r="B122" s="84"/>
      <c r="C122" s="85"/>
      <c r="D122" s="93"/>
      <c r="E122" s="85"/>
      <c r="F122" s="88"/>
      <c r="G122" s="89"/>
      <c r="H122" s="89"/>
      <c r="I122" s="89"/>
      <c r="J122" s="89"/>
      <c r="K122" s="90"/>
      <c r="L122" s="9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92"/>
      <c r="AD122" s="2"/>
      <c r="AE122" s="2"/>
      <c r="AF122" s="2"/>
      <c r="AG122" s="2"/>
      <c r="AH122" s="2"/>
      <c r="AI122" s="2"/>
      <c r="AJ122" s="2"/>
      <c r="AK122" s="2"/>
      <c r="AL122" s="54"/>
      <c r="AM122" s="54"/>
      <c r="AN122" s="54"/>
      <c r="AO122" s="54"/>
    </row>
    <row r="123" customFormat="false" ht="11.25" hidden="false" customHeight="true" outlineLevel="0" collapsed="false">
      <c r="A123" s="83"/>
      <c r="B123" s="84"/>
      <c r="C123" s="85"/>
      <c r="D123" s="93"/>
      <c r="E123" s="85"/>
      <c r="F123" s="88"/>
      <c r="G123" s="89"/>
      <c r="H123" s="89"/>
      <c r="I123" s="89"/>
      <c r="J123" s="89"/>
      <c r="K123" s="90"/>
      <c r="L123" s="9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92"/>
      <c r="AD123" s="2"/>
      <c r="AE123" s="2"/>
      <c r="AF123" s="2"/>
      <c r="AG123" s="2"/>
      <c r="AH123" s="2"/>
      <c r="AI123" s="2"/>
      <c r="AJ123" s="2"/>
      <c r="AK123" s="2"/>
      <c r="AL123" s="54"/>
      <c r="AM123" s="54"/>
      <c r="AN123" s="54"/>
      <c r="AO123" s="54"/>
    </row>
    <row r="124" customFormat="false" ht="11.25" hidden="false" customHeight="true" outlineLevel="0" collapsed="false">
      <c r="A124" s="83"/>
      <c r="B124" s="84"/>
      <c r="C124" s="85"/>
      <c r="D124" s="93"/>
      <c r="E124" s="85"/>
      <c r="F124" s="88"/>
      <c r="G124" s="89"/>
      <c r="H124" s="89"/>
      <c r="I124" s="89"/>
      <c r="J124" s="89"/>
      <c r="K124" s="90"/>
      <c r="L124" s="9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92"/>
      <c r="AD124" s="2"/>
      <c r="AE124" s="2"/>
      <c r="AF124" s="2"/>
      <c r="AG124" s="2"/>
      <c r="AH124" s="2"/>
      <c r="AI124" s="2"/>
      <c r="AJ124" s="2"/>
      <c r="AK124" s="2"/>
      <c r="AL124" s="54"/>
      <c r="AM124" s="54"/>
      <c r="AN124" s="54"/>
      <c r="AO124" s="54"/>
    </row>
    <row r="125" customFormat="false" ht="11.25" hidden="false" customHeight="true" outlineLevel="0" collapsed="false">
      <c r="A125" s="83"/>
      <c r="B125" s="84"/>
      <c r="C125" s="85"/>
      <c r="D125" s="93"/>
      <c r="E125" s="85"/>
      <c r="F125" s="88"/>
      <c r="G125" s="89"/>
      <c r="H125" s="89"/>
      <c r="I125" s="89"/>
      <c r="J125" s="89"/>
      <c r="K125" s="90"/>
      <c r="L125" s="9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92"/>
      <c r="AD125" s="2"/>
      <c r="AE125" s="2"/>
      <c r="AF125" s="2"/>
      <c r="AG125" s="2"/>
      <c r="AH125" s="2"/>
      <c r="AI125" s="2"/>
      <c r="AJ125" s="2"/>
      <c r="AK125" s="2"/>
      <c r="AL125" s="54"/>
      <c r="AM125" s="54"/>
      <c r="AN125" s="54"/>
      <c r="AO125" s="54"/>
    </row>
    <row r="126" customFormat="false" ht="11.25" hidden="false" customHeight="true" outlineLevel="0" collapsed="false">
      <c r="A126" s="83"/>
      <c r="B126" s="84"/>
      <c r="C126" s="85"/>
      <c r="D126" s="93"/>
      <c r="E126" s="85"/>
      <c r="F126" s="88"/>
      <c r="G126" s="89"/>
      <c r="H126" s="89"/>
      <c r="I126" s="89"/>
      <c r="J126" s="89"/>
      <c r="K126" s="90"/>
      <c r="L126" s="9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92"/>
      <c r="AD126" s="2"/>
      <c r="AE126" s="2"/>
      <c r="AF126" s="2"/>
      <c r="AG126" s="2"/>
      <c r="AH126" s="2"/>
      <c r="AI126" s="2"/>
      <c r="AJ126" s="2"/>
      <c r="AK126" s="2"/>
      <c r="AL126" s="54"/>
      <c r="AM126" s="54"/>
      <c r="AN126" s="54"/>
      <c r="AO126" s="54"/>
    </row>
    <row r="127" customFormat="false" ht="11.25" hidden="false" customHeight="true" outlineLevel="0" collapsed="false">
      <c r="A127" s="83"/>
      <c r="B127" s="84"/>
      <c r="C127" s="85"/>
      <c r="D127" s="93"/>
      <c r="E127" s="85"/>
      <c r="F127" s="88"/>
      <c r="G127" s="89"/>
      <c r="H127" s="89"/>
      <c r="I127" s="89"/>
      <c r="J127" s="89"/>
      <c r="K127" s="90"/>
      <c r="L127" s="9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92"/>
      <c r="AD127" s="2"/>
      <c r="AE127" s="2"/>
      <c r="AF127" s="2"/>
      <c r="AG127" s="2"/>
      <c r="AH127" s="2"/>
      <c r="AI127" s="2"/>
      <c r="AJ127" s="2"/>
      <c r="AK127" s="2"/>
      <c r="AL127" s="54"/>
      <c r="AM127" s="54"/>
      <c r="AN127" s="54"/>
      <c r="AO127" s="54"/>
    </row>
    <row r="128" customFormat="false" ht="11.25" hidden="false" customHeight="true" outlineLevel="0" collapsed="false">
      <c r="A128" s="83"/>
      <c r="B128" s="84"/>
      <c r="C128" s="85"/>
      <c r="D128" s="93"/>
      <c r="E128" s="85"/>
      <c r="F128" s="88"/>
      <c r="G128" s="89"/>
      <c r="H128" s="89"/>
      <c r="I128" s="89"/>
      <c r="J128" s="89"/>
      <c r="K128" s="90"/>
      <c r="L128" s="9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92"/>
      <c r="AD128" s="2"/>
      <c r="AE128" s="2"/>
      <c r="AF128" s="2"/>
      <c r="AG128" s="2"/>
      <c r="AH128" s="2"/>
      <c r="AI128" s="2"/>
      <c r="AJ128" s="2"/>
      <c r="AK128" s="2"/>
      <c r="AL128" s="54"/>
      <c r="AM128" s="54"/>
      <c r="AN128" s="54"/>
      <c r="AO128" s="54"/>
    </row>
    <row r="129" customFormat="false" ht="11.25" hidden="false" customHeight="true" outlineLevel="0" collapsed="false">
      <c r="A129" s="83"/>
      <c r="B129" s="84"/>
      <c r="C129" s="85"/>
      <c r="D129" s="93"/>
      <c r="E129" s="85"/>
      <c r="F129" s="88"/>
      <c r="G129" s="89"/>
      <c r="H129" s="89"/>
      <c r="I129" s="89"/>
      <c r="J129" s="89"/>
      <c r="K129" s="90"/>
      <c r="L129" s="9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92"/>
      <c r="AD129" s="2"/>
      <c r="AE129" s="2"/>
      <c r="AF129" s="2"/>
      <c r="AG129" s="2"/>
      <c r="AH129" s="2"/>
      <c r="AI129" s="2"/>
      <c r="AJ129" s="2"/>
      <c r="AK129" s="2"/>
      <c r="AL129" s="54"/>
      <c r="AM129" s="54"/>
      <c r="AN129" s="54"/>
      <c r="AO129" s="54"/>
    </row>
    <row r="130" customFormat="false" ht="11.25" hidden="false" customHeight="true" outlineLevel="0" collapsed="false">
      <c r="A130" s="83"/>
      <c r="B130" s="84"/>
      <c r="C130" s="85"/>
      <c r="D130" s="93"/>
      <c r="E130" s="85"/>
      <c r="F130" s="88"/>
      <c r="G130" s="89"/>
      <c r="H130" s="89"/>
      <c r="I130" s="89"/>
      <c r="J130" s="89"/>
      <c r="K130" s="90"/>
      <c r="L130" s="9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92"/>
      <c r="AD130" s="2"/>
      <c r="AE130" s="2"/>
      <c r="AF130" s="2"/>
      <c r="AG130" s="2"/>
      <c r="AH130" s="2"/>
      <c r="AI130" s="2"/>
      <c r="AJ130" s="2"/>
      <c r="AK130" s="2"/>
      <c r="AL130" s="54"/>
      <c r="AM130" s="54"/>
      <c r="AN130" s="54"/>
      <c r="AO130" s="54"/>
    </row>
    <row r="131" customFormat="false" ht="11.25" hidden="false" customHeight="true" outlineLevel="0" collapsed="false">
      <c r="A131" s="83"/>
      <c r="B131" s="84"/>
      <c r="C131" s="85"/>
      <c r="D131" s="93"/>
      <c r="E131" s="85"/>
      <c r="F131" s="88"/>
      <c r="G131" s="89"/>
      <c r="H131" s="89"/>
      <c r="I131" s="89"/>
      <c r="J131" s="89"/>
      <c r="K131" s="90"/>
      <c r="L131" s="9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92"/>
      <c r="AD131" s="2"/>
      <c r="AE131" s="2"/>
      <c r="AF131" s="2"/>
      <c r="AG131" s="2"/>
      <c r="AH131" s="2"/>
      <c r="AI131" s="2"/>
      <c r="AJ131" s="2"/>
      <c r="AK131" s="2"/>
      <c r="AL131" s="54"/>
      <c r="AM131" s="54"/>
      <c r="AN131" s="54"/>
      <c r="AO131" s="54"/>
    </row>
    <row r="132" customFormat="false" ht="11.25" hidden="false" customHeight="true" outlineLevel="0" collapsed="false">
      <c r="A132" s="83"/>
      <c r="B132" s="84"/>
      <c r="C132" s="85"/>
      <c r="D132" s="93"/>
      <c r="E132" s="85"/>
      <c r="F132" s="88"/>
      <c r="G132" s="89"/>
      <c r="H132" s="89"/>
      <c r="I132" s="89"/>
      <c r="J132" s="89"/>
      <c r="K132" s="90"/>
      <c r="L132" s="9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92"/>
      <c r="AD132" s="2"/>
      <c r="AE132" s="2"/>
      <c r="AF132" s="2"/>
      <c r="AG132" s="2"/>
      <c r="AH132" s="2"/>
      <c r="AI132" s="2"/>
      <c r="AJ132" s="2"/>
      <c r="AK132" s="2"/>
      <c r="AL132" s="54"/>
      <c r="AM132" s="54"/>
      <c r="AN132" s="54"/>
      <c r="AO132" s="54"/>
    </row>
    <row r="133" customFormat="false" ht="11.25" hidden="false" customHeight="true" outlineLevel="0" collapsed="false">
      <c r="A133" s="83"/>
      <c r="B133" s="84"/>
      <c r="C133" s="85"/>
      <c r="D133" s="93"/>
      <c r="E133" s="85"/>
      <c r="F133" s="88"/>
      <c r="G133" s="89"/>
      <c r="H133" s="89"/>
      <c r="I133" s="89"/>
      <c r="J133" s="89"/>
      <c r="K133" s="90"/>
      <c r="L133" s="9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92"/>
      <c r="AD133" s="2"/>
      <c r="AE133" s="2"/>
      <c r="AF133" s="2"/>
      <c r="AG133" s="2"/>
      <c r="AH133" s="2"/>
      <c r="AI133" s="2"/>
      <c r="AJ133" s="2"/>
      <c r="AK133" s="2"/>
      <c r="AL133" s="54"/>
      <c r="AM133" s="54"/>
      <c r="AN133" s="54"/>
      <c r="AO133" s="54"/>
    </row>
    <row r="134" customFormat="false" ht="11.25" hidden="false" customHeight="true" outlineLevel="0" collapsed="false">
      <c r="A134" s="83"/>
      <c r="B134" s="84"/>
      <c r="C134" s="85"/>
      <c r="D134" s="93"/>
      <c r="E134" s="85"/>
      <c r="F134" s="88"/>
      <c r="G134" s="89"/>
      <c r="H134" s="89"/>
      <c r="I134" s="89"/>
      <c r="J134" s="89"/>
      <c r="K134" s="90"/>
      <c r="L134" s="9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92"/>
      <c r="AD134" s="2"/>
      <c r="AE134" s="2"/>
      <c r="AF134" s="2"/>
      <c r="AG134" s="2"/>
      <c r="AH134" s="2"/>
      <c r="AI134" s="2"/>
      <c r="AJ134" s="2"/>
      <c r="AK134" s="2"/>
      <c r="AL134" s="54"/>
      <c r="AM134" s="54"/>
      <c r="AN134" s="54"/>
      <c r="AO134" s="54"/>
    </row>
    <row r="135" customFormat="false" ht="11.25" hidden="false" customHeight="true" outlineLevel="0" collapsed="false">
      <c r="A135" s="83"/>
      <c r="B135" s="84"/>
      <c r="C135" s="85"/>
      <c r="D135" s="93"/>
      <c r="E135" s="85"/>
      <c r="F135" s="88"/>
      <c r="G135" s="89"/>
      <c r="H135" s="89"/>
      <c r="I135" s="89"/>
      <c r="J135" s="89"/>
      <c r="K135" s="90"/>
      <c r="L135" s="9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92"/>
      <c r="AD135" s="2"/>
      <c r="AE135" s="2"/>
      <c r="AF135" s="2"/>
      <c r="AG135" s="2"/>
      <c r="AH135" s="2"/>
      <c r="AI135" s="2"/>
      <c r="AJ135" s="2"/>
      <c r="AK135" s="2"/>
      <c r="AL135" s="54"/>
      <c r="AM135" s="54"/>
      <c r="AN135" s="54"/>
      <c r="AO135" s="54"/>
    </row>
    <row r="136" customFormat="false" ht="11.25" hidden="false" customHeight="true" outlineLevel="0" collapsed="false">
      <c r="A136" s="83"/>
      <c r="B136" s="84"/>
      <c r="C136" s="85"/>
      <c r="D136" s="93"/>
      <c r="E136" s="85"/>
      <c r="F136" s="88"/>
      <c r="G136" s="89"/>
      <c r="H136" s="89"/>
      <c r="I136" s="89"/>
      <c r="J136" s="89"/>
      <c r="K136" s="90"/>
      <c r="L136" s="9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92"/>
      <c r="AD136" s="2"/>
      <c r="AE136" s="2"/>
      <c r="AF136" s="2"/>
      <c r="AG136" s="2"/>
      <c r="AH136" s="2"/>
      <c r="AI136" s="2"/>
      <c r="AJ136" s="2"/>
      <c r="AK136" s="2"/>
      <c r="AL136" s="54"/>
      <c r="AM136" s="54"/>
      <c r="AN136" s="54"/>
      <c r="AO136" s="54"/>
    </row>
    <row r="137" customFormat="false" ht="11.25" hidden="false" customHeight="true" outlineLevel="0" collapsed="false">
      <c r="A137" s="83"/>
      <c r="B137" s="84"/>
      <c r="C137" s="85"/>
      <c r="D137" s="93"/>
      <c r="E137" s="85"/>
      <c r="F137" s="88"/>
      <c r="G137" s="89"/>
      <c r="H137" s="89"/>
      <c r="I137" s="89"/>
      <c r="J137" s="89"/>
      <c r="K137" s="90"/>
      <c r="L137" s="9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92"/>
      <c r="AD137" s="2"/>
      <c r="AE137" s="2"/>
      <c r="AF137" s="2"/>
      <c r="AG137" s="2"/>
      <c r="AH137" s="2"/>
      <c r="AI137" s="2"/>
      <c r="AJ137" s="2"/>
      <c r="AK137" s="2"/>
      <c r="AL137" s="54"/>
      <c r="AM137" s="54"/>
      <c r="AN137" s="54"/>
      <c r="AO137" s="54"/>
    </row>
    <row r="138" customFormat="false" ht="11.25" hidden="false" customHeight="true" outlineLevel="0" collapsed="false">
      <c r="A138" s="83"/>
      <c r="B138" s="84"/>
      <c r="C138" s="85"/>
      <c r="D138" s="93"/>
      <c r="E138" s="85"/>
      <c r="F138" s="88"/>
      <c r="G138" s="89"/>
      <c r="H138" s="89"/>
      <c r="I138" s="89"/>
      <c r="J138" s="89"/>
      <c r="K138" s="90"/>
      <c r="L138" s="9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92"/>
      <c r="AD138" s="2"/>
      <c r="AE138" s="2"/>
      <c r="AF138" s="2"/>
      <c r="AG138" s="2"/>
      <c r="AH138" s="2"/>
      <c r="AI138" s="2"/>
      <c r="AJ138" s="2"/>
      <c r="AK138" s="2"/>
      <c r="AL138" s="54"/>
      <c r="AM138" s="54"/>
      <c r="AN138" s="54"/>
      <c r="AO138" s="54"/>
    </row>
    <row r="139" customFormat="false" ht="11.25" hidden="false" customHeight="true" outlineLevel="0" collapsed="false">
      <c r="A139" s="83"/>
      <c r="B139" s="84"/>
      <c r="C139" s="85"/>
      <c r="D139" s="93"/>
      <c r="E139" s="85"/>
      <c r="F139" s="88"/>
      <c r="G139" s="89"/>
      <c r="H139" s="89"/>
      <c r="I139" s="89"/>
      <c r="J139" s="89"/>
      <c r="K139" s="90"/>
      <c r="L139" s="9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92"/>
      <c r="AD139" s="2"/>
      <c r="AE139" s="2"/>
      <c r="AF139" s="2"/>
      <c r="AG139" s="2"/>
      <c r="AH139" s="2"/>
      <c r="AI139" s="2"/>
      <c r="AJ139" s="2"/>
      <c r="AK139" s="2"/>
      <c r="AL139" s="54"/>
      <c r="AM139" s="54"/>
      <c r="AN139" s="54"/>
      <c r="AO139" s="54"/>
    </row>
    <row r="140" customFormat="false" ht="11.25" hidden="false" customHeight="true" outlineLevel="0" collapsed="false">
      <c r="A140" s="83"/>
      <c r="B140" s="84"/>
      <c r="C140" s="85"/>
      <c r="D140" s="93"/>
      <c r="E140" s="85"/>
      <c r="F140" s="88"/>
      <c r="G140" s="89"/>
      <c r="H140" s="89"/>
      <c r="I140" s="89"/>
      <c r="J140" s="89"/>
      <c r="K140" s="90"/>
      <c r="L140" s="9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92"/>
      <c r="AD140" s="2"/>
      <c r="AE140" s="2"/>
      <c r="AF140" s="2"/>
      <c r="AG140" s="2"/>
      <c r="AH140" s="2"/>
      <c r="AI140" s="2"/>
      <c r="AJ140" s="2"/>
      <c r="AK140" s="2"/>
      <c r="AL140" s="54"/>
      <c r="AM140" s="54"/>
      <c r="AN140" s="54"/>
      <c r="AO140" s="54"/>
    </row>
    <row r="141" customFormat="false" ht="11.25" hidden="false" customHeight="true" outlineLevel="0" collapsed="false">
      <c r="A141" s="83"/>
      <c r="B141" s="84"/>
      <c r="C141" s="85"/>
      <c r="D141" s="93"/>
      <c r="E141" s="85"/>
      <c r="F141" s="88"/>
      <c r="G141" s="89"/>
      <c r="H141" s="89"/>
      <c r="I141" s="89"/>
      <c r="J141" s="89"/>
      <c r="K141" s="90"/>
      <c r="L141" s="9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92"/>
      <c r="AD141" s="2"/>
      <c r="AE141" s="2"/>
      <c r="AF141" s="2"/>
      <c r="AG141" s="2"/>
      <c r="AH141" s="2"/>
      <c r="AI141" s="2"/>
      <c r="AJ141" s="2"/>
      <c r="AK141" s="2"/>
      <c r="AL141" s="54"/>
      <c r="AM141" s="54"/>
      <c r="AN141" s="54"/>
      <c r="AO141" s="54"/>
    </row>
    <row r="142" customFormat="false" ht="11.25" hidden="false" customHeight="true" outlineLevel="0" collapsed="false">
      <c r="A142" s="83"/>
      <c r="B142" s="84"/>
      <c r="C142" s="85"/>
      <c r="D142" s="93"/>
      <c r="E142" s="85"/>
      <c r="F142" s="88"/>
      <c r="G142" s="89"/>
      <c r="H142" s="89"/>
      <c r="I142" s="89"/>
      <c r="J142" s="89"/>
      <c r="K142" s="90"/>
      <c r="L142" s="9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92"/>
      <c r="AD142" s="2"/>
      <c r="AE142" s="2"/>
      <c r="AF142" s="2"/>
      <c r="AG142" s="2"/>
      <c r="AH142" s="2"/>
      <c r="AI142" s="2"/>
      <c r="AJ142" s="2"/>
      <c r="AK142" s="2"/>
      <c r="AL142" s="54"/>
      <c r="AM142" s="54"/>
      <c r="AN142" s="54"/>
      <c r="AO142" s="54"/>
    </row>
    <row r="143" customFormat="false" ht="11.25" hidden="false" customHeight="true" outlineLevel="0" collapsed="false">
      <c r="A143" s="83"/>
      <c r="B143" s="84"/>
      <c r="C143" s="85"/>
      <c r="D143" s="93"/>
      <c r="E143" s="85"/>
      <c r="F143" s="88"/>
      <c r="G143" s="89"/>
      <c r="H143" s="89"/>
      <c r="I143" s="89"/>
      <c r="J143" s="89"/>
      <c r="K143" s="90"/>
      <c r="L143" s="9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92"/>
      <c r="AD143" s="2"/>
      <c r="AE143" s="2"/>
      <c r="AF143" s="2"/>
      <c r="AG143" s="2"/>
      <c r="AH143" s="2"/>
      <c r="AI143" s="2"/>
      <c r="AJ143" s="2"/>
      <c r="AK143" s="2"/>
      <c r="AL143" s="54"/>
      <c r="AM143" s="54"/>
      <c r="AN143" s="54"/>
      <c r="AO143" s="54"/>
    </row>
    <row r="144" customFormat="false" ht="11.25" hidden="false" customHeight="true" outlineLevel="0" collapsed="false">
      <c r="A144" s="83"/>
      <c r="B144" s="84"/>
      <c r="C144" s="85"/>
      <c r="D144" s="93"/>
      <c r="E144" s="85"/>
      <c r="F144" s="88"/>
      <c r="G144" s="89"/>
      <c r="H144" s="89"/>
      <c r="I144" s="89"/>
      <c r="J144" s="89"/>
      <c r="K144" s="90"/>
      <c r="L144" s="9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92"/>
      <c r="AD144" s="2"/>
      <c r="AE144" s="2"/>
      <c r="AF144" s="2"/>
      <c r="AG144" s="2"/>
      <c r="AH144" s="2"/>
      <c r="AI144" s="2"/>
      <c r="AJ144" s="2"/>
      <c r="AK144" s="2"/>
      <c r="AL144" s="54"/>
      <c r="AM144" s="54"/>
      <c r="AN144" s="54"/>
      <c r="AO144" s="54"/>
    </row>
    <row r="145" customFormat="false" ht="11.25" hidden="false" customHeight="true" outlineLevel="0" collapsed="false">
      <c r="A145" s="83"/>
      <c r="B145" s="84"/>
      <c r="C145" s="85"/>
      <c r="D145" s="93"/>
      <c r="E145" s="85"/>
      <c r="F145" s="88"/>
      <c r="G145" s="89"/>
      <c r="H145" s="89"/>
      <c r="I145" s="89"/>
      <c r="J145" s="89"/>
      <c r="K145" s="90"/>
      <c r="L145" s="9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92"/>
      <c r="AD145" s="2"/>
      <c r="AE145" s="2"/>
      <c r="AF145" s="2"/>
      <c r="AG145" s="2"/>
      <c r="AH145" s="2"/>
      <c r="AI145" s="2"/>
      <c r="AJ145" s="2"/>
      <c r="AK145" s="2"/>
      <c r="AL145" s="54"/>
      <c r="AM145" s="54"/>
      <c r="AN145" s="54"/>
      <c r="AO145" s="54"/>
    </row>
    <row r="146" customFormat="false" ht="11.25" hidden="false" customHeight="true" outlineLevel="0" collapsed="false">
      <c r="A146" s="83"/>
      <c r="B146" s="84"/>
      <c r="C146" s="85"/>
      <c r="D146" s="93"/>
      <c r="E146" s="85"/>
      <c r="F146" s="88"/>
      <c r="G146" s="89"/>
      <c r="H146" s="89"/>
      <c r="I146" s="89"/>
      <c r="J146" s="89"/>
      <c r="K146" s="90"/>
      <c r="L146" s="9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92"/>
      <c r="AD146" s="2"/>
      <c r="AE146" s="2"/>
      <c r="AF146" s="2"/>
      <c r="AG146" s="2"/>
      <c r="AH146" s="2"/>
      <c r="AI146" s="2"/>
      <c r="AJ146" s="2"/>
      <c r="AK146" s="2"/>
      <c r="AL146" s="54"/>
      <c r="AM146" s="54"/>
      <c r="AN146" s="54"/>
      <c r="AO146" s="54"/>
    </row>
    <row r="147" customFormat="false" ht="11.25" hidden="false" customHeight="true" outlineLevel="0" collapsed="false">
      <c r="A147" s="83"/>
      <c r="B147" s="84"/>
      <c r="C147" s="85"/>
      <c r="D147" s="93"/>
      <c r="E147" s="85"/>
      <c r="F147" s="88"/>
      <c r="G147" s="89"/>
      <c r="H147" s="89"/>
      <c r="I147" s="89"/>
      <c r="J147" s="89"/>
      <c r="K147" s="90"/>
      <c r="L147" s="9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92"/>
      <c r="AD147" s="2"/>
      <c r="AE147" s="2"/>
      <c r="AF147" s="2"/>
      <c r="AG147" s="2"/>
      <c r="AH147" s="2"/>
      <c r="AI147" s="2"/>
      <c r="AJ147" s="2"/>
      <c r="AK147" s="2"/>
      <c r="AL147" s="54"/>
      <c r="AM147" s="54"/>
      <c r="AN147" s="54"/>
      <c r="AO147" s="54"/>
    </row>
    <row r="148" customFormat="false" ht="11.25" hidden="false" customHeight="true" outlineLevel="0" collapsed="false">
      <c r="A148" s="83"/>
      <c r="B148" s="84"/>
      <c r="C148" s="85"/>
      <c r="D148" s="93"/>
      <c r="E148" s="85"/>
      <c r="F148" s="88"/>
      <c r="G148" s="89"/>
      <c r="H148" s="89"/>
      <c r="I148" s="89"/>
      <c r="J148" s="89"/>
      <c r="K148" s="90"/>
      <c r="L148" s="9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92"/>
      <c r="AD148" s="2"/>
      <c r="AE148" s="2"/>
      <c r="AF148" s="2"/>
      <c r="AG148" s="2"/>
      <c r="AH148" s="2"/>
      <c r="AI148" s="2"/>
      <c r="AJ148" s="2"/>
      <c r="AK148" s="2"/>
      <c r="AL148" s="54"/>
      <c r="AM148" s="54"/>
      <c r="AN148" s="54"/>
      <c r="AO148" s="54"/>
    </row>
    <row r="149" customFormat="false" ht="11.25" hidden="false" customHeight="true" outlineLevel="0" collapsed="false">
      <c r="A149" s="83"/>
      <c r="B149" s="84"/>
      <c r="C149" s="85"/>
      <c r="D149" s="93"/>
      <c r="E149" s="85"/>
      <c r="F149" s="88"/>
      <c r="G149" s="89"/>
      <c r="H149" s="89"/>
      <c r="I149" s="89"/>
      <c r="J149" s="89"/>
      <c r="K149" s="90"/>
      <c r="L149" s="9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92"/>
      <c r="AD149" s="2"/>
      <c r="AE149" s="2"/>
      <c r="AF149" s="2"/>
      <c r="AG149" s="2"/>
      <c r="AH149" s="2"/>
      <c r="AI149" s="2"/>
      <c r="AJ149" s="2"/>
      <c r="AK149" s="2"/>
      <c r="AL149" s="54"/>
      <c r="AM149" s="54"/>
      <c r="AN149" s="54"/>
      <c r="AO149" s="54"/>
    </row>
    <row r="150" customFormat="false" ht="11.25" hidden="false" customHeight="true" outlineLevel="0" collapsed="false">
      <c r="A150" s="83"/>
      <c r="B150" s="84"/>
      <c r="C150" s="85"/>
      <c r="D150" s="93"/>
      <c r="E150" s="85"/>
      <c r="F150" s="88"/>
      <c r="G150" s="89"/>
      <c r="H150" s="89"/>
      <c r="I150" s="89"/>
      <c r="J150" s="89"/>
      <c r="K150" s="90"/>
      <c r="L150" s="9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92"/>
      <c r="AD150" s="2"/>
      <c r="AE150" s="2"/>
      <c r="AF150" s="2"/>
      <c r="AG150" s="2"/>
      <c r="AH150" s="2"/>
      <c r="AI150" s="2"/>
      <c r="AJ150" s="2"/>
      <c r="AK150" s="2"/>
      <c r="AL150" s="54"/>
      <c r="AM150" s="54"/>
      <c r="AN150" s="54"/>
      <c r="AO150" s="54"/>
    </row>
    <row r="151" customFormat="false" ht="11.25" hidden="false" customHeight="true" outlineLevel="0" collapsed="false">
      <c r="A151" s="83"/>
      <c r="B151" s="84"/>
      <c r="C151" s="85"/>
      <c r="D151" s="93"/>
      <c r="E151" s="85"/>
      <c r="F151" s="88"/>
      <c r="G151" s="89"/>
      <c r="H151" s="89"/>
      <c r="I151" s="89"/>
      <c r="J151" s="89"/>
      <c r="K151" s="90"/>
      <c r="L151" s="9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92"/>
      <c r="AD151" s="2"/>
      <c r="AE151" s="2"/>
      <c r="AF151" s="2"/>
      <c r="AG151" s="2"/>
      <c r="AH151" s="2"/>
      <c r="AI151" s="2"/>
      <c r="AJ151" s="2"/>
      <c r="AK151" s="2"/>
      <c r="AL151" s="54"/>
      <c r="AM151" s="54"/>
      <c r="AN151" s="54"/>
      <c r="AO151" s="54"/>
    </row>
    <row r="152" customFormat="false" ht="11.25" hidden="false" customHeight="true" outlineLevel="0" collapsed="false">
      <c r="A152" s="83"/>
      <c r="B152" s="84"/>
      <c r="C152" s="85"/>
      <c r="D152" s="93"/>
      <c r="E152" s="85"/>
      <c r="F152" s="88"/>
      <c r="G152" s="89"/>
      <c r="H152" s="89"/>
      <c r="I152" s="89"/>
      <c r="J152" s="89"/>
      <c r="K152" s="90"/>
      <c r="L152" s="9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92"/>
      <c r="AD152" s="2"/>
      <c r="AE152" s="2"/>
      <c r="AF152" s="2"/>
      <c r="AG152" s="2"/>
      <c r="AH152" s="2"/>
      <c r="AI152" s="2"/>
      <c r="AJ152" s="2"/>
      <c r="AK152" s="2"/>
      <c r="AL152" s="54"/>
      <c r="AM152" s="54"/>
      <c r="AN152" s="54"/>
      <c r="AO152" s="54"/>
    </row>
    <row r="153" customFormat="false" ht="11.25" hidden="false" customHeight="true" outlineLevel="0" collapsed="false">
      <c r="A153" s="83"/>
      <c r="B153" s="84"/>
      <c r="C153" s="85"/>
      <c r="D153" s="93"/>
      <c r="E153" s="85"/>
      <c r="F153" s="88"/>
      <c r="G153" s="89"/>
      <c r="H153" s="89"/>
      <c r="I153" s="89"/>
      <c r="J153" s="89"/>
      <c r="K153" s="90"/>
      <c r="L153" s="9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92"/>
      <c r="AD153" s="2"/>
      <c r="AE153" s="2"/>
      <c r="AF153" s="2"/>
      <c r="AG153" s="2"/>
      <c r="AH153" s="2"/>
      <c r="AI153" s="2"/>
      <c r="AJ153" s="2"/>
      <c r="AK153" s="2"/>
      <c r="AL153" s="54"/>
      <c r="AM153" s="54"/>
      <c r="AN153" s="54"/>
      <c r="AO153" s="54"/>
    </row>
    <row r="154" customFormat="false" ht="11.25" hidden="false" customHeight="true" outlineLevel="0" collapsed="false">
      <c r="A154" s="83"/>
      <c r="B154" s="84"/>
      <c r="C154" s="85"/>
      <c r="D154" s="93"/>
      <c r="E154" s="85"/>
      <c r="F154" s="88"/>
      <c r="G154" s="89"/>
      <c r="H154" s="89"/>
      <c r="I154" s="89"/>
      <c r="J154" s="89"/>
      <c r="K154" s="90"/>
      <c r="L154" s="9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92"/>
      <c r="AD154" s="2"/>
      <c r="AE154" s="2"/>
      <c r="AF154" s="2"/>
      <c r="AG154" s="2"/>
      <c r="AH154" s="2"/>
      <c r="AI154" s="2"/>
      <c r="AJ154" s="2"/>
      <c r="AK154" s="2"/>
      <c r="AL154" s="54"/>
      <c r="AM154" s="54"/>
      <c r="AN154" s="54"/>
      <c r="AO154" s="54"/>
    </row>
    <row r="155" customFormat="false" ht="11.25" hidden="false" customHeight="true" outlineLevel="0" collapsed="false">
      <c r="A155" s="83"/>
      <c r="B155" s="84"/>
      <c r="C155" s="85"/>
      <c r="D155" s="93"/>
      <c r="E155" s="85"/>
      <c r="F155" s="88"/>
      <c r="G155" s="89"/>
      <c r="H155" s="89"/>
      <c r="I155" s="89"/>
      <c r="J155" s="89"/>
      <c r="K155" s="90"/>
      <c r="L155" s="9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92"/>
      <c r="AD155" s="2"/>
      <c r="AE155" s="2"/>
      <c r="AF155" s="2"/>
      <c r="AG155" s="2"/>
      <c r="AH155" s="2"/>
      <c r="AI155" s="2"/>
      <c r="AJ155" s="2"/>
      <c r="AK155" s="2"/>
      <c r="AL155" s="54"/>
      <c r="AM155" s="54"/>
      <c r="AN155" s="54"/>
      <c r="AO155" s="54"/>
    </row>
    <row r="156" customFormat="false" ht="11.25" hidden="false" customHeight="true" outlineLevel="0" collapsed="false">
      <c r="A156" s="83"/>
      <c r="B156" s="84"/>
      <c r="C156" s="85"/>
      <c r="D156" s="93"/>
      <c r="E156" s="85"/>
      <c r="F156" s="88"/>
      <c r="G156" s="89"/>
      <c r="H156" s="89"/>
      <c r="I156" s="89"/>
      <c r="J156" s="89"/>
      <c r="K156" s="90"/>
      <c r="L156" s="9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92"/>
      <c r="AD156" s="2"/>
      <c r="AE156" s="2"/>
      <c r="AF156" s="2"/>
      <c r="AG156" s="2"/>
      <c r="AH156" s="2"/>
      <c r="AI156" s="2"/>
      <c r="AJ156" s="2"/>
      <c r="AK156" s="2"/>
      <c r="AL156" s="54"/>
      <c r="AM156" s="54"/>
      <c r="AN156" s="54"/>
      <c r="AO156" s="54"/>
    </row>
    <row r="157" customFormat="false" ht="11.25" hidden="false" customHeight="true" outlineLevel="0" collapsed="false">
      <c r="A157" s="83"/>
      <c r="B157" s="84"/>
      <c r="C157" s="85"/>
      <c r="D157" s="93"/>
      <c r="E157" s="85"/>
      <c r="F157" s="88"/>
      <c r="G157" s="89"/>
      <c r="H157" s="89"/>
      <c r="I157" s="89"/>
      <c r="J157" s="89"/>
      <c r="K157" s="90"/>
      <c r="L157" s="9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92"/>
      <c r="AD157" s="2"/>
      <c r="AE157" s="2"/>
      <c r="AF157" s="2"/>
      <c r="AG157" s="2"/>
      <c r="AH157" s="2"/>
      <c r="AI157" s="2"/>
      <c r="AJ157" s="2"/>
      <c r="AK157" s="2"/>
      <c r="AL157" s="54"/>
      <c r="AM157" s="54"/>
      <c r="AN157" s="54"/>
      <c r="AO157" s="54"/>
    </row>
    <row r="158" customFormat="false" ht="11.25" hidden="false" customHeight="true" outlineLevel="0" collapsed="false">
      <c r="A158" s="83"/>
      <c r="B158" s="84"/>
      <c r="C158" s="85"/>
      <c r="D158" s="93"/>
      <c r="E158" s="85"/>
      <c r="F158" s="88"/>
      <c r="G158" s="89"/>
      <c r="H158" s="89"/>
      <c r="I158" s="89"/>
      <c r="J158" s="89"/>
      <c r="K158" s="90"/>
      <c r="L158" s="9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92"/>
      <c r="AD158" s="2"/>
      <c r="AE158" s="2"/>
      <c r="AF158" s="2"/>
      <c r="AG158" s="2"/>
      <c r="AH158" s="2"/>
      <c r="AI158" s="2"/>
      <c r="AJ158" s="2"/>
      <c r="AK158" s="2"/>
      <c r="AL158" s="54"/>
      <c r="AM158" s="54"/>
      <c r="AN158" s="54"/>
      <c r="AO158" s="54"/>
    </row>
    <row r="159" customFormat="false" ht="11.25" hidden="false" customHeight="true" outlineLevel="0" collapsed="false">
      <c r="A159" s="83"/>
      <c r="B159" s="84"/>
      <c r="C159" s="85"/>
      <c r="D159" s="93"/>
      <c r="E159" s="85"/>
      <c r="F159" s="88"/>
      <c r="G159" s="89"/>
      <c r="H159" s="89"/>
      <c r="I159" s="89"/>
      <c r="J159" s="89"/>
      <c r="K159" s="90"/>
      <c r="L159" s="9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92"/>
      <c r="AD159" s="2"/>
      <c r="AE159" s="2"/>
      <c r="AF159" s="2"/>
      <c r="AG159" s="2"/>
      <c r="AH159" s="2"/>
      <c r="AI159" s="2"/>
      <c r="AJ159" s="2"/>
      <c r="AK159" s="2"/>
      <c r="AL159" s="54"/>
      <c r="AM159" s="54"/>
      <c r="AN159" s="54"/>
      <c r="AO159" s="54"/>
    </row>
    <row r="160" customFormat="false" ht="11.25" hidden="false" customHeight="true" outlineLevel="0" collapsed="false">
      <c r="A160" s="83"/>
      <c r="B160" s="84"/>
      <c r="C160" s="85"/>
      <c r="D160" s="93"/>
      <c r="E160" s="85"/>
      <c r="F160" s="88"/>
      <c r="G160" s="89"/>
      <c r="H160" s="89"/>
      <c r="I160" s="89"/>
      <c r="J160" s="89"/>
      <c r="K160" s="90"/>
      <c r="L160" s="9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92"/>
      <c r="AD160" s="2"/>
      <c r="AE160" s="2"/>
      <c r="AF160" s="2"/>
      <c r="AG160" s="2"/>
      <c r="AH160" s="2"/>
      <c r="AI160" s="2"/>
      <c r="AJ160" s="2"/>
      <c r="AK160" s="2"/>
      <c r="AL160" s="54"/>
      <c r="AM160" s="54"/>
      <c r="AN160" s="54"/>
      <c r="AO160" s="54"/>
    </row>
    <row r="161" customFormat="false" ht="11.25" hidden="false" customHeight="true" outlineLevel="0" collapsed="false">
      <c r="A161" s="83"/>
      <c r="B161" s="84"/>
      <c r="C161" s="85"/>
      <c r="D161" s="93"/>
      <c r="E161" s="85"/>
      <c r="F161" s="88"/>
      <c r="G161" s="89"/>
      <c r="H161" s="89"/>
      <c r="I161" s="89"/>
      <c r="J161" s="89"/>
      <c r="K161" s="90"/>
      <c r="L161" s="9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92"/>
      <c r="AD161" s="2"/>
      <c r="AE161" s="2"/>
      <c r="AF161" s="2"/>
      <c r="AG161" s="2"/>
      <c r="AH161" s="2"/>
      <c r="AI161" s="2"/>
      <c r="AJ161" s="2"/>
      <c r="AK161" s="2"/>
      <c r="AL161" s="54"/>
      <c r="AM161" s="54"/>
      <c r="AN161" s="54"/>
      <c r="AO161" s="54"/>
    </row>
    <row r="162" customFormat="false" ht="11.25" hidden="false" customHeight="true" outlineLevel="0" collapsed="false">
      <c r="A162" s="83"/>
      <c r="B162" s="84"/>
      <c r="C162" s="85"/>
      <c r="D162" s="93"/>
      <c r="E162" s="85"/>
      <c r="F162" s="88"/>
      <c r="G162" s="89"/>
      <c r="H162" s="89"/>
      <c r="I162" s="89"/>
      <c r="J162" s="89"/>
      <c r="K162" s="90"/>
      <c r="L162" s="9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92"/>
      <c r="AD162" s="2"/>
      <c r="AE162" s="2"/>
      <c r="AF162" s="2"/>
      <c r="AG162" s="2"/>
      <c r="AH162" s="2"/>
      <c r="AI162" s="2"/>
      <c r="AJ162" s="2"/>
      <c r="AK162" s="2"/>
      <c r="AL162" s="54"/>
      <c r="AM162" s="54"/>
      <c r="AN162" s="54"/>
      <c r="AO162" s="54"/>
    </row>
    <row r="163" customFormat="false" ht="11.25" hidden="false" customHeight="true" outlineLevel="0" collapsed="false">
      <c r="A163" s="83"/>
      <c r="B163" s="84"/>
      <c r="C163" s="85"/>
      <c r="D163" s="93"/>
      <c r="E163" s="85"/>
      <c r="F163" s="88"/>
      <c r="G163" s="89"/>
      <c r="H163" s="89"/>
      <c r="I163" s="89"/>
      <c r="J163" s="89"/>
      <c r="K163" s="90"/>
      <c r="L163" s="9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92"/>
      <c r="AD163" s="2"/>
      <c r="AE163" s="2"/>
      <c r="AF163" s="2"/>
      <c r="AG163" s="2"/>
      <c r="AH163" s="2"/>
      <c r="AI163" s="2"/>
      <c r="AJ163" s="2"/>
      <c r="AK163" s="2"/>
      <c r="AL163" s="54"/>
      <c r="AM163" s="54"/>
      <c r="AN163" s="54"/>
      <c r="AO163" s="54"/>
    </row>
    <row r="164" customFormat="false" ht="11.25" hidden="false" customHeight="true" outlineLevel="0" collapsed="false">
      <c r="A164" s="83"/>
      <c r="B164" s="84"/>
      <c r="C164" s="85"/>
      <c r="D164" s="93"/>
      <c r="E164" s="85"/>
      <c r="F164" s="88"/>
      <c r="G164" s="89"/>
      <c r="H164" s="89"/>
      <c r="I164" s="89"/>
      <c r="J164" s="89"/>
      <c r="K164" s="90"/>
      <c r="L164" s="9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92"/>
      <c r="AD164" s="2"/>
      <c r="AE164" s="2"/>
      <c r="AF164" s="2"/>
      <c r="AG164" s="2"/>
      <c r="AH164" s="2"/>
      <c r="AI164" s="2"/>
      <c r="AJ164" s="2"/>
      <c r="AK164" s="2"/>
      <c r="AL164" s="54"/>
      <c r="AM164" s="54"/>
      <c r="AN164" s="54"/>
      <c r="AO164" s="54"/>
    </row>
    <row r="165" customFormat="false" ht="11.25" hidden="false" customHeight="true" outlineLevel="0" collapsed="false">
      <c r="A165" s="83"/>
      <c r="B165" s="84"/>
      <c r="C165" s="85"/>
      <c r="D165" s="93"/>
      <c r="E165" s="85"/>
      <c r="F165" s="88"/>
      <c r="G165" s="89"/>
      <c r="H165" s="89"/>
      <c r="I165" s="89"/>
      <c r="J165" s="89"/>
      <c r="K165" s="90"/>
      <c r="L165" s="9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92"/>
      <c r="AD165" s="2"/>
      <c r="AE165" s="2"/>
      <c r="AF165" s="2"/>
      <c r="AG165" s="2"/>
      <c r="AH165" s="2"/>
      <c r="AI165" s="2"/>
      <c r="AJ165" s="2"/>
      <c r="AK165" s="2"/>
      <c r="AL165" s="54"/>
      <c r="AM165" s="54"/>
      <c r="AN165" s="54"/>
      <c r="AO165" s="54"/>
    </row>
    <row r="166" customFormat="false" ht="11.25" hidden="false" customHeight="true" outlineLevel="0" collapsed="false">
      <c r="A166" s="83"/>
      <c r="B166" s="84"/>
      <c r="C166" s="85"/>
      <c r="D166" s="93"/>
      <c r="E166" s="85"/>
      <c r="F166" s="88"/>
      <c r="G166" s="89"/>
      <c r="H166" s="89"/>
      <c r="I166" s="89"/>
      <c r="J166" s="89"/>
      <c r="K166" s="90"/>
      <c r="L166" s="9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92"/>
      <c r="AD166" s="2"/>
      <c r="AE166" s="2"/>
      <c r="AF166" s="2"/>
      <c r="AG166" s="2"/>
      <c r="AH166" s="2"/>
      <c r="AI166" s="2"/>
      <c r="AJ166" s="2"/>
      <c r="AK166" s="2"/>
      <c r="AL166" s="54"/>
      <c r="AM166" s="54"/>
      <c r="AN166" s="54"/>
      <c r="AO166" s="54"/>
    </row>
    <row r="167" customFormat="false" ht="11.25" hidden="false" customHeight="true" outlineLevel="0" collapsed="false">
      <c r="A167" s="83"/>
      <c r="B167" s="84"/>
      <c r="C167" s="85"/>
      <c r="D167" s="93"/>
      <c r="E167" s="85"/>
      <c r="F167" s="88"/>
      <c r="G167" s="89"/>
      <c r="H167" s="89"/>
      <c r="I167" s="89"/>
      <c r="J167" s="89"/>
      <c r="K167" s="90"/>
      <c r="L167" s="9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92"/>
      <c r="AD167" s="2"/>
      <c r="AE167" s="2"/>
      <c r="AF167" s="2"/>
      <c r="AG167" s="2"/>
      <c r="AH167" s="2"/>
      <c r="AI167" s="2"/>
      <c r="AJ167" s="2"/>
      <c r="AK167" s="2"/>
      <c r="AL167" s="54"/>
      <c r="AM167" s="54"/>
      <c r="AN167" s="54"/>
      <c r="AO167" s="54"/>
    </row>
    <row r="168" customFormat="false" ht="11.25" hidden="false" customHeight="true" outlineLevel="0" collapsed="false">
      <c r="A168" s="83"/>
      <c r="B168" s="84"/>
      <c r="C168" s="85"/>
      <c r="D168" s="93"/>
      <c r="E168" s="85"/>
      <c r="F168" s="88"/>
      <c r="G168" s="89"/>
      <c r="H168" s="89"/>
      <c r="I168" s="89"/>
      <c r="J168" s="89"/>
      <c r="K168" s="90"/>
      <c r="L168" s="9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92"/>
      <c r="AD168" s="2"/>
      <c r="AE168" s="2"/>
      <c r="AF168" s="2"/>
      <c r="AG168" s="2"/>
      <c r="AH168" s="2"/>
      <c r="AI168" s="2"/>
      <c r="AJ168" s="2"/>
      <c r="AK168" s="2"/>
      <c r="AL168" s="54"/>
      <c r="AM168" s="54"/>
      <c r="AN168" s="54"/>
      <c r="AO168" s="54"/>
    </row>
    <row r="169" customFormat="false" ht="11.25" hidden="false" customHeight="true" outlineLevel="0" collapsed="false">
      <c r="A169" s="83"/>
      <c r="B169" s="84"/>
      <c r="C169" s="85"/>
      <c r="D169" s="93"/>
      <c r="E169" s="85"/>
      <c r="F169" s="88"/>
      <c r="G169" s="89"/>
      <c r="H169" s="89"/>
      <c r="I169" s="89"/>
      <c r="J169" s="89"/>
      <c r="K169" s="90"/>
      <c r="L169" s="9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92"/>
      <c r="AD169" s="2"/>
      <c r="AE169" s="2"/>
      <c r="AF169" s="2"/>
      <c r="AG169" s="2"/>
      <c r="AH169" s="2"/>
      <c r="AI169" s="2"/>
      <c r="AJ169" s="2"/>
      <c r="AK169" s="2"/>
      <c r="AL169" s="54"/>
      <c r="AM169" s="54"/>
      <c r="AN169" s="54"/>
      <c r="AO169" s="54"/>
    </row>
    <row r="170" customFormat="false" ht="11.25" hidden="false" customHeight="true" outlineLevel="0" collapsed="false">
      <c r="A170" s="83"/>
      <c r="B170" s="84"/>
      <c r="C170" s="85"/>
      <c r="D170" s="93"/>
      <c r="E170" s="85"/>
      <c r="F170" s="88"/>
      <c r="G170" s="89"/>
      <c r="H170" s="89"/>
      <c r="I170" s="89"/>
      <c r="J170" s="89"/>
      <c r="K170" s="90"/>
      <c r="L170" s="9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92"/>
      <c r="AD170" s="2"/>
      <c r="AE170" s="2"/>
      <c r="AF170" s="2"/>
      <c r="AG170" s="2"/>
      <c r="AH170" s="2"/>
      <c r="AI170" s="2"/>
      <c r="AJ170" s="2"/>
      <c r="AK170" s="2"/>
      <c r="AL170" s="54"/>
      <c r="AM170" s="54"/>
      <c r="AN170" s="54"/>
      <c r="AO170" s="54"/>
    </row>
    <row r="171" customFormat="false" ht="11.25" hidden="false" customHeight="true" outlineLevel="0" collapsed="false">
      <c r="A171" s="83"/>
      <c r="B171" s="84"/>
      <c r="C171" s="85"/>
      <c r="D171" s="93"/>
      <c r="E171" s="85"/>
      <c r="F171" s="88"/>
      <c r="G171" s="89"/>
      <c r="H171" s="89"/>
      <c r="I171" s="89"/>
      <c r="J171" s="89"/>
      <c r="K171" s="90"/>
      <c r="L171" s="9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92"/>
      <c r="AD171" s="2"/>
      <c r="AE171" s="2"/>
      <c r="AF171" s="2"/>
      <c r="AG171" s="2"/>
      <c r="AH171" s="2"/>
      <c r="AI171" s="2"/>
      <c r="AJ171" s="2"/>
      <c r="AK171" s="2"/>
      <c r="AL171" s="54"/>
      <c r="AM171" s="54"/>
      <c r="AN171" s="54"/>
      <c r="AO171" s="54"/>
    </row>
    <row r="172" customFormat="false" ht="11.25" hidden="false" customHeight="true" outlineLevel="0" collapsed="false">
      <c r="A172" s="83"/>
      <c r="B172" s="84"/>
      <c r="C172" s="85"/>
      <c r="D172" s="93"/>
      <c r="E172" s="85"/>
      <c r="F172" s="88"/>
      <c r="G172" s="89"/>
      <c r="H172" s="89"/>
      <c r="I172" s="89"/>
      <c r="J172" s="89"/>
      <c r="K172" s="90"/>
      <c r="L172" s="9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92"/>
      <c r="AD172" s="2"/>
      <c r="AE172" s="2"/>
      <c r="AF172" s="2"/>
      <c r="AG172" s="2"/>
      <c r="AH172" s="2"/>
      <c r="AI172" s="2"/>
      <c r="AJ172" s="2"/>
      <c r="AK172" s="2"/>
      <c r="AL172" s="54"/>
      <c r="AM172" s="54"/>
      <c r="AN172" s="54"/>
      <c r="AO172" s="54"/>
    </row>
    <row r="173" customFormat="false" ht="11.25" hidden="false" customHeight="true" outlineLevel="0" collapsed="false">
      <c r="A173" s="83"/>
      <c r="B173" s="84"/>
      <c r="C173" s="85"/>
      <c r="D173" s="93"/>
      <c r="E173" s="85"/>
      <c r="F173" s="88"/>
      <c r="G173" s="89"/>
      <c r="H173" s="89"/>
      <c r="I173" s="89"/>
      <c r="J173" s="89"/>
      <c r="K173" s="90"/>
      <c r="L173" s="9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92"/>
      <c r="AD173" s="2"/>
      <c r="AE173" s="2"/>
      <c r="AF173" s="2"/>
      <c r="AG173" s="2"/>
      <c r="AH173" s="2"/>
      <c r="AI173" s="2"/>
      <c r="AJ173" s="2"/>
      <c r="AK173" s="2"/>
      <c r="AL173" s="54"/>
      <c r="AM173" s="54"/>
      <c r="AN173" s="54"/>
      <c r="AO173" s="54"/>
    </row>
    <row r="174" customFormat="false" ht="11.25" hidden="false" customHeight="true" outlineLevel="0" collapsed="false">
      <c r="A174" s="83"/>
      <c r="B174" s="84"/>
      <c r="C174" s="85"/>
      <c r="D174" s="93"/>
      <c r="E174" s="85"/>
      <c r="F174" s="88"/>
      <c r="G174" s="89"/>
      <c r="H174" s="89"/>
      <c r="I174" s="89"/>
      <c r="J174" s="89"/>
      <c r="K174" s="90"/>
      <c r="L174" s="9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92"/>
      <c r="AD174" s="2"/>
      <c r="AE174" s="2"/>
      <c r="AF174" s="2"/>
      <c r="AG174" s="2"/>
      <c r="AH174" s="2"/>
      <c r="AI174" s="2"/>
      <c r="AJ174" s="2"/>
      <c r="AK174" s="2"/>
      <c r="AL174" s="54"/>
      <c r="AM174" s="54"/>
      <c r="AN174" s="54"/>
      <c r="AO174" s="54"/>
    </row>
    <row r="175" customFormat="false" ht="11.25" hidden="false" customHeight="true" outlineLevel="0" collapsed="false">
      <c r="A175" s="83"/>
      <c r="B175" s="84"/>
      <c r="C175" s="85"/>
      <c r="D175" s="93"/>
      <c r="E175" s="85"/>
      <c r="F175" s="88"/>
      <c r="G175" s="89"/>
      <c r="H175" s="89"/>
      <c r="I175" s="89"/>
      <c r="J175" s="89"/>
      <c r="K175" s="90"/>
      <c r="L175" s="9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92"/>
      <c r="AD175" s="2"/>
      <c r="AE175" s="2"/>
      <c r="AF175" s="2"/>
      <c r="AG175" s="2"/>
      <c r="AH175" s="2"/>
      <c r="AI175" s="2"/>
      <c r="AJ175" s="2"/>
      <c r="AK175" s="2"/>
      <c r="AL175" s="54"/>
      <c r="AM175" s="54"/>
      <c r="AN175" s="54"/>
      <c r="AO175" s="54"/>
    </row>
    <row r="176" customFormat="false" ht="11.25" hidden="false" customHeight="true" outlineLevel="0" collapsed="false">
      <c r="A176" s="83"/>
      <c r="B176" s="84"/>
      <c r="C176" s="85"/>
      <c r="D176" s="93"/>
      <c r="E176" s="85"/>
      <c r="F176" s="88"/>
      <c r="G176" s="89"/>
      <c r="H176" s="89"/>
      <c r="I176" s="89"/>
      <c r="J176" s="89"/>
      <c r="K176" s="90"/>
      <c r="L176" s="9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92"/>
      <c r="AD176" s="2"/>
      <c r="AE176" s="2"/>
      <c r="AF176" s="2"/>
      <c r="AG176" s="2"/>
      <c r="AH176" s="2"/>
      <c r="AI176" s="2"/>
      <c r="AJ176" s="2"/>
      <c r="AK176" s="2"/>
      <c r="AL176" s="54"/>
      <c r="AM176" s="54"/>
      <c r="AN176" s="54"/>
      <c r="AO176" s="54"/>
    </row>
    <row r="177" customFormat="false" ht="11.25" hidden="false" customHeight="true" outlineLevel="0" collapsed="false">
      <c r="A177" s="83"/>
      <c r="B177" s="84"/>
      <c r="C177" s="85"/>
      <c r="D177" s="93"/>
      <c r="E177" s="85"/>
      <c r="F177" s="88"/>
      <c r="G177" s="89"/>
      <c r="H177" s="89"/>
      <c r="I177" s="89"/>
      <c r="J177" s="89"/>
      <c r="K177" s="90"/>
      <c r="L177" s="9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92"/>
      <c r="AD177" s="2"/>
      <c r="AE177" s="2"/>
      <c r="AF177" s="2"/>
      <c r="AG177" s="2"/>
      <c r="AH177" s="2"/>
      <c r="AI177" s="2"/>
      <c r="AJ177" s="2"/>
      <c r="AK177" s="2"/>
      <c r="AL177" s="54"/>
      <c r="AM177" s="54"/>
      <c r="AN177" s="54"/>
      <c r="AO177" s="54"/>
    </row>
    <row r="178" customFormat="false" ht="11.25" hidden="false" customHeight="true" outlineLevel="0" collapsed="false">
      <c r="A178" s="83"/>
      <c r="B178" s="84"/>
      <c r="C178" s="85"/>
      <c r="D178" s="93"/>
      <c r="E178" s="85"/>
      <c r="F178" s="88"/>
      <c r="G178" s="89"/>
      <c r="H178" s="89"/>
      <c r="I178" s="89"/>
      <c r="J178" s="89"/>
      <c r="K178" s="90"/>
      <c r="L178" s="9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92"/>
      <c r="AD178" s="2"/>
      <c r="AE178" s="2"/>
      <c r="AF178" s="2"/>
      <c r="AG178" s="2"/>
      <c r="AH178" s="2"/>
      <c r="AI178" s="2"/>
      <c r="AJ178" s="2"/>
      <c r="AK178" s="2"/>
      <c r="AL178" s="54"/>
      <c r="AM178" s="54"/>
      <c r="AN178" s="54"/>
      <c r="AO178" s="54"/>
    </row>
    <row r="179" customFormat="false" ht="11.25" hidden="false" customHeight="true" outlineLevel="0" collapsed="false">
      <c r="A179" s="83"/>
      <c r="B179" s="84"/>
      <c r="C179" s="85"/>
      <c r="D179" s="93"/>
      <c r="E179" s="85"/>
      <c r="F179" s="88"/>
      <c r="G179" s="89"/>
      <c r="H179" s="89"/>
      <c r="I179" s="89"/>
      <c r="J179" s="89"/>
      <c r="K179" s="90"/>
      <c r="L179" s="9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92"/>
      <c r="AD179" s="2"/>
      <c r="AE179" s="2"/>
      <c r="AF179" s="2"/>
      <c r="AG179" s="2"/>
      <c r="AH179" s="2"/>
      <c r="AI179" s="2"/>
      <c r="AJ179" s="2"/>
      <c r="AK179" s="2"/>
      <c r="AL179" s="54"/>
      <c r="AM179" s="54"/>
      <c r="AN179" s="54"/>
      <c r="AO179" s="54"/>
    </row>
    <row r="180" customFormat="false" ht="11.25" hidden="false" customHeight="true" outlineLevel="0" collapsed="false">
      <c r="A180" s="83"/>
      <c r="B180" s="84"/>
      <c r="C180" s="85"/>
      <c r="D180" s="93"/>
      <c r="E180" s="85"/>
      <c r="F180" s="88"/>
      <c r="G180" s="89"/>
      <c r="H180" s="89"/>
      <c r="I180" s="89"/>
      <c r="J180" s="89"/>
      <c r="K180" s="90"/>
      <c r="L180" s="9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92"/>
      <c r="AD180" s="2"/>
      <c r="AE180" s="2"/>
      <c r="AF180" s="2"/>
      <c r="AG180" s="2"/>
      <c r="AH180" s="2"/>
      <c r="AI180" s="2"/>
      <c r="AJ180" s="2"/>
      <c r="AK180" s="2"/>
      <c r="AL180" s="54"/>
      <c r="AM180" s="54"/>
      <c r="AN180" s="54"/>
      <c r="AO180" s="54"/>
    </row>
    <row r="181" customFormat="false" ht="11.25" hidden="false" customHeight="true" outlineLevel="0" collapsed="false">
      <c r="A181" s="83"/>
      <c r="B181" s="84"/>
      <c r="C181" s="85"/>
      <c r="D181" s="93"/>
      <c r="E181" s="85"/>
      <c r="F181" s="88"/>
      <c r="G181" s="89"/>
      <c r="H181" s="89"/>
      <c r="I181" s="89"/>
      <c r="J181" s="89"/>
      <c r="K181" s="90"/>
      <c r="L181" s="9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92"/>
      <c r="AD181" s="2"/>
      <c r="AE181" s="2"/>
      <c r="AF181" s="2"/>
      <c r="AG181" s="2"/>
      <c r="AH181" s="2"/>
      <c r="AI181" s="2"/>
      <c r="AJ181" s="2"/>
      <c r="AK181" s="2"/>
      <c r="AL181" s="54"/>
      <c r="AM181" s="54"/>
      <c r="AN181" s="54"/>
      <c r="AO181" s="54"/>
    </row>
    <row r="182" customFormat="false" ht="11.25" hidden="false" customHeight="true" outlineLevel="0" collapsed="false">
      <c r="A182" s="83"/>
      <c r="B182" s="84"/>
      <c r="C182" s="85"/>
      <c r="D182" s="93"/>
      <c r="E182" s="85"/>
      <c r="F182" s="88"/>
      <c r="G182" s="89"/>
      <c r="H182" s="89"/>
      <c r="I182" s="89"/>
      <c r="J182" s="89"/>
      <c r="K182" s="90"/>
      <c r="L182" s="9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92"/>
      <c r="AD182" s="2"/>
      <c r="AE182" s="2"/>
      <c r="AF182" s="2"/>
      <c r="AG182" s="2"/>
      <c r="AH182" s="2"/>
      <c r="AI182" s="2"/>
      <c r="AJ182" s="2"/>
      <c r="AK182" s="2"/>
      <c r="AL182" s="54"/>
      <c r="AM182" s="54"/>
      <c r="AN182" s="54"/>
      <c r="AO182" s="54"/>
    </row>
    <row r="183" customFormat="false" ht="11.25" hidden="false" customHeight="true" outlineLevel="0" collapsed="false">
      <c r="A183" s="83"/>
      <c r="B183" s="84"/>
      <c r="C183" s="85"/>
      <c r="D183" s="93"/>
      <c r="E183" s="85"/>
      <c r="F183" s="88"/>
      <c r="G183" s="89"/>
      <c r="H183" s="89"/>
      <c r="I183" s="89"/>
      <c r="J183" s="89"/>
      <c r="K183" s="90"/>
      <c r="L183" s="9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92"/>
      <c r="AD183" s="2"/>
      <c r="AE183" s="2"/>
      <c r="AF183" s="2"/>
      <c r="AG183" s="2"/>
      <c r="AH183" s="2"/>
      <c r="AI183" s="2"/>
      <c r="AJ183" s="2"/>
      <c r="AK183" s="2"/>
      <c r="AL183" s="54"/>
      <c r="AM183" s="54"/>
      <c r="AN183" s="54"/>
      <c r="AO183" s="54"/>
    </row>
    <row r="184" customFormat="false" ht="11.25" hidden="false" customHeight="true" outlineLevel="0" collapsed="false">
      <c r="A184" s="83"/>
      <c r="B184" s="84"/>
      <c r="C184" s="85"/>
      <c r="D184" s="93"/>
      <c r="E184" s="85"/>
      <c r="F184" s="88"/>
      <c r="G184" s="89"/>
      <c r="H184" s="89"/>
      <c r="I184" s="89"/>
      <c r="J184" s="89"/>
      <c r="K184" s="90"/>
      <c r="L184" s="9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92"/>
      <c r="AD184" s="2"/>
      <c r="AE184" s="2"/>
      <c r="AF184" s="2"/>
      <c r="AG184" s="2"/>
      <c r="AH184" s="2"/>
      <c r="AI184" s="2"/>
      <c r="AJ184" s="2"/>
      <c r="AK184" s="2"/>
      <c r="AL184" s="54"/>
      <c r="AM184" s="54"/>
      <c r="AN184" s="54"/>
      <c r="AO184" s="54"/>
    </row>
    <row r="185" customFormat="false" ht="11.25" hidden="false" customHeight="true" outlineLevel="0" collapsed="false">
      <c r="A185" s="83"/>
      <c r="B185" s="84"/>
      <c r="C185" s="85"/>
      <c r="D185" s="93"/>
      <c r="E185" s="85"/>
      <c r="F185" s="88"/>
      <c r="G185" s="89"/>
      <c r="H185" s="89"/>
      <c r="I185" s="89"/>
      <c r="J185" s="89"/>
      <c r="K185" s="90"/>
      <c r="L185" s="9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92"/>
      <c r="AD185" s="2"/>
      <c r="AE185" s="2"/>
      <c r="AF185" s="2"/>
      <c r="AG185" s="2"/>
      <c r="AH185" s="2"/>
      <c r="AI185" s="2"/>
      <c r="AJ185" s="2"/>
      <c r="AK185" s="2"/>
      <c r="AL185" s="54"/>
      <c r="AM185" s="54"/>
      <c r="AN185" s="54"/>
      <c r="AO185" s="54"/>
    </row>
    <row r="186" customFormat="false" ht="11.25" hidden="false" customHeight="true" outlineLevel="0" collapsed="false">
      <c r="A186" s="83"/>
      <c r="B186" s="84"/>
      <c r="C186" s="85"/>
      <c r="D186" s="93"/>
      <c r="E186" s="85"/>
      <c r="F186" s="88"/>
      <c r="G186" s="89"/>
      <c r="H186" s="89"/>
      <c r="I186" s="89"/>
      <c r="J186" s="89"/>
      <c r="K186" s="90"/>
      <c r="L186" s="9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92"/>
      <c r="AD186" s="2"/>
      <c r="AE186" s="2"/>
      <c r="AF186" s="2"/>
      <c r="AG186" s="2"/>
      <c r="AH186" s="2"/>
      <c r="AI186" s="2"/>
      <c r="AJ186" s="2"/>
      <c r="AK186" s="2"/>
      <c r="AL186" s="54"/>
      <c r="AM186" s="54"/>
      <c r="AN186" s="54"/>
      <c r="AO186" s="54"/>
    </row>
    <row r="187" customFormat="false" ht="11.25" hidden="false" customHeight="true" outlineLevel="0" collapsed="false">
      <c r="A187" s="83"/>
      <c r="B187" s="84"/>
      <c r="C187" s="85"/>
      <c r="D187" s="93"/>
      <c r="E187" s="85"/>
      <c r="F187" s="88"/>
      <c r="G187" s="89"/>
      <c r="H187" s="89"/>
      <c r="I187" s="89"/>
      <c r="J187" s="89"/>
      <c r="K187" s="90"/>
      <c r="L187" s="9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92"/>
      <c r="AD187" s="2"/>
      <c r="AE187" s="2"/>
      <c r="AF187" s="2"/>
      <c r="AG187" s="2"/>
      <c r="AH187" s="2"/>
      <c r="AI187" s="2"/>
      <c r="AJ187" s="2"/>
      <c r="AK187" s="2"/>
      <c r="AL187" s="54"/>
      <c r="AM187" s="54"/>
      <c r="AN187" s="54"/>
      <c r="AO187" s="54"/>
    </row>
    <row r="188" customFormat="false" ht="11.25" hidden="false" customHeight="true" outlineLevel="0" collapsed="false">
      <c r="A188" s="83"/>
      <c r="B188" s="84"/>
      <c r="C188" s="85"/>
      <c r="D188" s="93"/>
      <c r="E188" s="85"/>
      <c r="F188" s="88"/>
      <c r="G188" s="89"/>
      <c r="H188" s="89"/>
      <c r="I188" s="89"/>
      <c r="J188" s="89"/>
      <c r="K188" s="90"/>
      <c r="L188" s="9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92"/>
      <c r="AD188" s="2"/>
      <c r="AE188" s="2"/>
      <c r="AF188" s="2"/>
      <c r="AG188" s="2"/>
      <c r="AH188" s="2"/>
      <c r="AI188" s="2"/>
      <c r="AJ188" s="2"/>
      <c r="AK188" s="2"/>
      <c r="AL188" s="54"/>
      <c r="AM188" s="54"/>
      <c r="AN188" s="54"/>
      <c r="AO188" s="54"/>
    </row>
    <row r="189" customFormat="false" ht="11.25" hidden="false" customHeight="true" outlineLevel="0" collapsed="false">
      <c r="A189" s="83"/>
      <c r="B189" s="84"/>
      <c r="C189" s="85"/>
      <c r="D189" s="93"/>
      <c r="E189" s="85"/>
      <c r="F189" s="88"/>
      <c r="G189" s="89"/>
      <c r="H189" s="89"/>
      <c r="I189" s="89"/>
      <c r="J189" s="89"/>
      <c r="K189" s="90"/>
      <c r="L189" s="9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92"/>
      <c r="AD189" s="2"/>
      <c r="AE189" s="2"/>
      <c r="AF189" s="2"/>
      <c r="AG189" s="2"/>
      <c r="AH189" s="2"/>
      <c r="AI189" s="2"/>
      <c r="AJ189" s="2"/>
      <c r="AK189" s="2"/>
      <c r="AL189" s="54"/>
      <c r="AM189" s="54"/>
      <c r="AN189" s="54"/>
      <c r="AO189" s="54"/>
    </row>
    <row r="190" customFormat="false" ht="11.25" hidden="false" customHeight="true" outlineLevel="0" collapsed="false">
      <c r="A190" s="83"/>
      <c r="B190" s="84"/>
      <c r="C190" s="85"/>
      <c r="D190" s="93"/>
      <c r="E190" s="85"/>
      <c r="F190" s="88"/>
      <c r="G190" s="89"/>
      <c r="H190" s="89"/>
      <c r="I190" s="89"/>
      <c r="J190" s="89"/>
      <c r="K190" s="90"/>
      <c r="L190" s="9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92"/>
      <c r="AD190" s="2"/>
      <c r="AE190" s="2"/>
      <c r="AF190" s="2"/>
      <c r="AG190" s="2"/>
      <c r="AH190" s="2"/>
      <c r="AI190" s="2"/>
      <c r="AJ190" s="2"/>
      <c r="AK190" s="2"/>
      <c r="AL190" s="54"/>
      <c r="AM190" s="54"/>
      <c r="AN190" s="54"/>
      <c r="AO190" s="54"/>
    </row>
    <row r="191" customFormat="false" ht="11.25" hidden="false" customHeight="true" outlineLevel="0" collapsed="false">
      <c r="A191" s="83"/>
      <c r="B191" s="84"/>
      <c r="C191" s="85"/>
      <c r="D191" s="93"/>
      <c r="E191" s="85"/>
      <c r="F191" s="88"/>
      <c r="G191" s="89"/>
      <c r="H191" s="89"/>
      <c r="I191" s="89"/>
      <c r="J191" s="89"/>
      <c r="K191" s="90"/>
      <c r="L191" s="9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92"/>
      <c r="AD191" s="2"/>
      <c r="AE191" s="2"/>
      <c r="AF191" s="2"/>
      <c r="AG191" s="2"/>
      <c r="AH191" s="2"/>
      <c r="AI191" s="2"/>
      <c r="AJ191" s="2"/>
      <c r="AK191" s="2"/>
      <c r="AL191" s="54"/>
      <c r="AM191" s="54"/>
      <c r="AN191" s="54"/>
      <c r="AO191" s="54"/>
    </row>
    <row r="192" customFormat="false" ht="11.25" hidden="false" customHeight="true" outlineLevel="0" collapsed="false">
      <c r="A192" s="83"/>
      <c r="B192" s="84"/>
      <c r="C192" s="85"/>
      <c r="D192" s="93"/>
      <c r="E192" s="85"/>
      <c r="F192" s="88"/>
      <c r="G192" s="89"/>
      <c r="H192" s="89"/>
      <c r="I192" s="89"/>
      <c r="J192" s="89"/>
      <c r="K192" s="90"/>
      <c r="L192" s="9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92"/>
      <c r="AD192" s="2"/>
      <c r="AE192" s="2"/>
      <c r="AF192" s="2"/>
      <c r="AG192" s="2"/>
      <c r="AH192" s="2"/>
      <c r="AI192" s="2"/>
      <c r="AJ192" s="2"/>
      <c r="AK192" s="2"/>
      <c r="AL192" s="54"/>
      <c r="AM192" s="54"/>
      <c r="AN192" s="54"/>
      <c r="AO192" s="54"/>
    </row>
    <row r="193" customFormat="false" ht="11.25" hidden="false" customHeight="true" outlineLevel="0" collapsed="false">
      <c r="A193" s="83"/>
      <c r="B193" s="84"/>
      <c r="C193" s="85"/>
      <c r="D193" s="93"/>
      <c r="E193" s="85"/>
      <c r="F193" s="88"/>
      <c r="G193" s="89"/>
      <c r="H193" s="89"/>
      <c r="I193" s="89"/>
      <c r="J193" s="89"/>
      <c r="K193" s="90"/>
      <c r="L193" s="9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92"/>
      <c r="AD193" s="2"/>
      <c r="AE193" s="2"/>
      <c r="AF193" s="2"/>
      <c r="AG193" s="2"/>
      <c r="AH193" s="2"/>
      <c r="AI193" s="2"/>
      <c r="AJ193" s="2"/>
      <c r="AK193" s="2"/>
      <c r="AL193" s="54"/>
      <c r="AM193" s="54"/>
      <c r="AN193" s="54"/>
      <c r="AO193" s="54"/>
    </row>
    <row r="194" customFormat="false" ht="11.25" hidden="false" customHeight="true" outlineLevel="0" collapsed="false">
      <c r="A194" s="83"/>
      <c r="B194" s="84"/>
      <c r="C194" s="85"/>
      <c r="D194" s="93"/>
      <c r="E194" s="85"/>
      <c r="F194" s="88"/>
      <c r="G194" s="89"/>
      <c r="H194" s="89"/>
      <c r="I194" s="89"/>
      <c r="J194" s="89"/>
      <c r="K194" s="90"/>
      <c r="L194" s="9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92"/>
      <c r="AD194" s="2"/>
      <c r="AE194" s="2"/>
      <c r="AF194" s="2"/>
      <c r="AG194" s="2"/>
      <c r="AH194" s="2"/>
      <c r="AI194" s="2"/>
      <c r="AJ194" s="2"/>
      <c r="AK194" s="2"/>
      <c r="AL194" s="54"/>
      <c r="AM194" s="54"/>
      <c r="AN194" s="54"/>
      <c r="AO194" s="54"/>
    </row>
    <row r="195" customFormat="false" ht="11.25" hidden="false" customHeight="true" outlineLevel="0" collapsed="false">
      <c r="A195" s="83"/>
      <c r="B195" s="84"/>
      <c r="C195" s="85"/>
      <c r="D195" s="93"/>
      <c r="E195" s="85"/>
      <c r="F195" s="88"/>
      <c r="G195" s="89"/>
      <c r="H195" s="89"/>
      <c r="I195" s="89"/>
      <c r="J195" s="89"/>
      <c r="K195" s="90"/>
      <c r="L195" s="9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92"/>
      <c r="AD195" s="2"/>
      <c r="AE195" s="2"/>
      <c r="AF195" s="2"/>
      <c r="AG195" s="2"/>
      <c r="AH195" s="2"/>
      <c r="AI195" s="2"/>
      <c r="AJ195" s="2"/>
      <c r="AK195" s="2"/>
      <c r="AL195" s="54"/>
      <c r="AM195" s="54"/>
      <c r="AN195" s="54"/>
      <c r="AO195" s="54"/>
    </row>
    <row r="196" customFormat="false" ht="11.25" hidden="false" customHeight="true" outlineLevel="0" collapsed="false">
      <c r="A196" s="83"/>
      <c r="B196" s="84"/>
      <c r="C196" s="85"/>
      <c r="D196" s="93"/>
      <c r="E196" s="85"/>
      <c r="F196" s="88"/>
      <c r="G196" s="89"/>
      <c r="H196" s="89"/>
      <c r="I196" s="89"/>
      <c r="J196" s="89"/>
      <c r="K196" s="90"/>
      <c r="L196" s="9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92"/>
      <c r="AD196" s="2"/>
      <c r="AE196" s="2"/>
      <c r="AF196" s="2"/>
      <c r="AG196" s="2"/>
      <c r="AH196" s="2"/>
      <c r="AI196" s="2"/>
      <c r="AJ196" s="2"/>
      <c r="AK196" s="2"/>
      <c r="AL196" s="54"/>
      <c r="AM196" s="54"/>
      <c r="AN196" s="54"/>
      <c r="AO196" s="54"/>
    </row>
    <row r="197" customFormat="false" ht="11.25" hidden="false" customHeight="true" outlineLevel="0" collapsed="false">
      <c r="A197" s="83"/>
      <c r="B197" s="84"/>
      <c r="C197" s="85"/>
      <c r="D197" s="93"/>
      <c r="E197" s="85"/>
      <c r="F197" s="88"/>
      <c r="G197" s="89"/>
      <c r="H197" s="89"/>
      <c r="I197" s="89"/>
      <c r="J197" s="89"/>
      <c r="K197" s="90"/>
      <c r="L197" s="9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92"/>
      <c r="AD197" s="2"/>
      <c r="AE197" s="2"/>
      <c r="AF197" s="2"/>
      <c r="AG197" s="2"/>
      <c r="AH197" s="2"/>
      <c r="AI197" s="2"/>
      <c r="AJ197" s="2"/>
      <c r="AK197" s="2"/>
      <c r="AL197" s="54"/>
      <c r="AM197" s="54"/>
      <c r="AN197" s="54"/>
      <c r="AO197" s="54"/>
    </row>
    <row r="198" customFormat="false" ht="11.25" hidden="false" customHeight="true" outlineLevel="0" collapsed="false">
      <c r="A198" s="83"/>
      <c r="B198" s="84"/>
      <c r="C198" s="85"/>
      <c r="D198" s="93"/>
      <c r="E198" s="85"/>
      <c r="F198" s="88"/>
      <c r="G198" s="89"/>
      <c r="H198" s="89"/>
      <c r="I198" s="89"/>
      <c r="J198" s="89"/>
      <c r="K198" s="90"/>
      <c r="L198" s="9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92"/>
      <c r="AD198" s="2"/>
      <c r="AE198" s="2"/>
      <c r="AF198" s="2"/>
      <c r="AG198" s="2"/>
      <c r="AH198" s="2"/>
      <c r="AI198" s="2"/>
      <c r="AJ198" s="2"/>
      <c r="AK198" s="2"/>
      <c r="AL198" s="54"/>
      <c r="AM198" s="54"/>
      <c r="AN198" s="54"/>
      <c r="AO198" s="54"/>
    </row>
    <row r="199" customFormat="false" ht="11.25" hidden="false" customHeight="true" outlineLevel="0" collapsed="false">
      <c r="A199" s="83"/>
      <c r="B199" s="84"/>
      <c r="C199" s="85"/>
      <c r="D199" s="93"/>
      <c r="E199" s="85"/>
      <c r="F199" s="88"/>
      <c r="G199" s="89"/>
      <c r="H199" s="89"/>
      <c r="I199" s="89"/>
      <c r="J199" s="89"/>
      <c r="K199" s="90"/>
      <c r="L199" s="9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92"/>
      <c r="AD199" s="2"/>
      <c r="AE199" s="2"/>
      <c r="AF199" s="2"/>
      <c r="AG199" s="2"/>
      <c r="AH199" s="2"/>
      <c r="AI199" s="2"/>
      <c r="AJ199" s="2"/>
      <c r="AK199" s="2"/>
      <c r="AL199" s="54"/>
      <c r="AM199" s="54"/>
      <c r="AN199" s="54"/>
      <c r="AO199" s="54"/>
    </row>
    <row r="200" customFormat="false" ht="11.25" hidden="false" customHeight="true" outlineLevel="0" collapsed="false">
      <c r="A200" s="83"/>
      <c r="B200" s="84"/>
      <c r="C200" s="85"/>
      <c r="D200" s="93"/>
      <c r="E200" s="85"/>
      <c r="F200" s="88"/>
      <c r="G200" s="89"/>
      <c r="H200" s="89"/>
      <c r="I200" s="89"/>
      <c r="J200" s="89"/>
      <c r="K200" s="90"/>
      <c r="L200" s="9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92"/>
      <c r="AD200" s="2"/>
      <c r="AE200" s="2"/>
      <c r="AF200" s="2"/>
      <c r="AG200" s="2"/>
      <c r="AH200" s="2"/>
      <c r="AI200" s="2"/>
      <c r="AJ200" s="2"/>
      <c r="AK200" s="2"/>
      <c r="AL200" s="54"/>
      <c r="AM200" s="54"/>
      <c r="AN200" s="54"/>
      <c r="AO200" s="54"/>
    </row>
    <row r="201" customFormat="false" ht="11.25" hidden="false" customHeight="true" outlineLevel="0" collapsed="false">
      <c r="A201" s="83"/>
      <c r="B201" s="84"/>
      <c r="C201" s="85"/>
      <c r="D201" s="93"/>
      <c r="E201" s="85"/>
      <c r="F201" s="88"/>
      <c r="G201" s="89"/>
      <c r="H201" s="89"/>
      <c r="I201" s="89"/>
      <c r="J201" s="89"/>
      <c r="K201" s="90"/>
      <c r="L201" s="9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92"/>
      <c r="AD201" s="2"/>
      <c r="AE201" s="2"/>
      <c r="AF201" s="2"/>
      <c r="AG201" s="2"/>
      <c r="AH201" s="2"/>
      <c r="AI201" s="2"/>
      <c r="AJ201" s="2"/>
      <c r="AK201" s="2"/>
      <c r="AL201" s="54"/>
      <c r="AM201" s="54"/>
      <c r="AN201" s="54"/>
      <c r="AO201" s="54"/>
    </row>
    <row r="202" customFormat="false" ht="11.25" hidden="false" customHeight="true" outlineLevel="0" collapsed="false">
      <c r="A202" s="83"/>
      <c r="B202" s="84"/>
      <c r="C202" s="85"/>
      <c r="D202" s="93"/>
      <c r="E202" s="85"/>
      <c r="F202" s="88"/>
      <c r="G202" s="89"/>
      <c r="H202" s="89"/>
      <c r="I202" s="89"/>
      <c r="J202" s="89"/>
      <c r="K202" s="90"/>
      <c r="L202" s="9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92"/>
      <c r="AD202" s="2"/>
      <c r="AE202" s="2"/>
      <c r="AF202" s="2"/>
      <c r="AG202" s="2"/>
      <c r="AH202" s="2"/>
      <c r="AI202" s="2"/>
      <c r="AJ202" s="2"/>
      <c r="AK202" s="2"/>
      <c r="AL202" s="54"/>
      <c r="AM202" s="54"/>
      <c r="AN202" s="54"/>
      <c r="AO202" s="54"/>
    </row>
    <row r="203" customFormat="false" ht="11.25" hidden="false" customHeight="true" outlineLevel="0" collapsed="false">
      <c r="A203" s="83"/>
      <c r="B203" s="84"/>
      <c r="C203" s="85"/>
      <c r="D203" s="93"/>
      <c r="E203" s="85"/>
      <c r="F203" s="88"/>
      <c r="G203" s="89"/>
      <c r="H203" s="89"/>
      <c r="I203" s="89"/>
      <c r="J203" s="89"/>
      <c r="K203" s="90"/>
      <c r="L203" s="9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92"/>
      <c r="AD203" s="2"/>
      <c r="AE203" s="2"/>
      <c r="AF203" s="2"/>
      <c r="AG203" s="2"/>
      <c r="AH203" s="2"/>
      <c r="AI203" s="2"/>
      <c r="AJ203" s="2"/>
      <c r="AK203" s="2"/>
      <c r="AL203" s="54"/>
      <c r="AM203" s="54"/>
      <c r="AN203" s="54"/>
      <c r="AO203" s="54"/>
    </row>
    <row r="204" customFormat="false" ht="11.25" hidden="false" customHeight="true" outlineLevel="0" collapsed="false">
      <c r="A204" s="83"/>
      <c r="B204" s="84"/>
      <c r="C204" s="85"/>
      <c r="D204" s="93"/>
      <c r="E204" s="85"/>
      <c r="F204" s="88"/>
      <c r="G204" s="89"/>
      <c r="H204" s="89"/>
      <c r="I204" s="89"/>
      <c r="J204" s="89"/>
      <c r="K204" s="90"/>
      <c r="L204" s="9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92"/>
      <c r="AD204" s="2"/>
      <c r="AE204" s="2"/>
      <c r="AF204" s="2"/>
      <c r="AG204" s="2"/>
      <c r="AH204" s="2"/>
      <c r="AI204" s="2"/>
      <c r="AJ204" s="2"/>
      <c r="AK204" s="2"/>
      <c r="AL204" s="54"/>
      <c r="AM204" s="54"/>
      <c r="AN204" s="54"/>
      <c r="AO204" s="54"/>
    </row>
    <row r="205" customFormat="false" ht="11.25" hidden="false" customHeight="true" outlineLevel="0" collapsed="false">
      <c r="A205" s="83"/>
      <c r="B205" s="84"/>
      <c r="C205" s="85"/>
      <c r="D205" s="93"/>
      <c r="E205" s="85"/>
      <c r="F205" s="88"/>
      <c r="G205" s="89"/>
      <c r="H205" s="89"/>
      <c r="I205" s="89"/>
      <c r="J205" s="89"/>
      <c r="K205" s="90"/>
      <c r="L205" s="9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92"/>
      <c r="AD205" s="2"/>
      <c r="AE205" s="2"/>
      <c r="AF205" s="2"/>
      <c r="AG205" s="2"/>
      <c r="AH205" s="2"/>
      <c r="AI205" s="2"/>
      <c r="AJ205" s="2"/>
      <c r="AK205" s="2"/>
      <c r="AL205" s="54"/>
      <c r="AM205" s="54"/>
      <c r="AN205" s="54"/>
      <c r="AO205" s="54"/>
    </row>
    <row r="206" customFormat="false" ht="11.25" hidden="false" customHeight="true" outlineLevel="0" collapsed="false">
      <c r="A206" s="83"/>
      <c r="B206" s="84"/>
      <c r="C206" s="85"/>
      <c r="D206" s="93"/>
      <c r="E206" s="85"/>
      <c r="F206" s="88"/>
      <c r="G206" s="89"/>
      <c r="H206" s="89"/>
      <c r="I206" s="89"/>
      <c r="J206" s="89"/>
      <c r="K206" s="90"/>
      <c r="L206" s="9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92"/>
      <c r="AD206" s="2"/>
      <c r="AE206" s="2"/>
      <c r="AF206" s="2"/>
      <c r="AG206" s="2"/>
      <c r="AH206" s="2"/>
      <c r="AI206" s="2"/>
      <c r="AJ206" s="2"/>
      <c r="AK206" s="2"/>
      <c r="AL206" s="54"/>
      <c r="AM206" s="54"/>
      <c r="AN206" s="54"/>
      <c r="AO206" s="54"/>
    </row>
    <row r="207" customFormat="false" ht="11.25" hidden="false" customHeight="true" outlineLevel="0" collapsed="false">
      <c r="A207" s="83"/>
      <c r="B207" s="84"/>
      <c r="C207" s="85"/>
      <c r="D207" s="93"/>
      <c r="E207" s="85"/>
      <c r="F207" s="88"/>
      <c r="G207" s="89"/>
      <c r="H207" s="89"/>
      <c r="I207" s="89"/>
      <c r="J207" s="89"/>
      <c r="K207" s="90"/>
      <c r="L207" s="9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92"/>
      <c r="AD207" s="2"/>
      <c r="AE207" s="2"/>
      <c r="AF207" s="2"/>
      <c r="AG207" s="2"/>
      <c r="AH207" s="2"/>
      <c r="AI207" s="2"/>
      <c r="AJ207" s="2"/>
      <c r="AK207" s="2"/>
      <c r="AL207" s="54"/>
      <c r="AM207" s="54"/>
      <c r="AN207" s="54"/>
      <c r="AO207" s="54"/>
    </row>
    <row r="208" customFormat="false" ht="11.25" hidden="false" customHeight="true" outlineLevel="0" collapsed="false">
      <c r="A208" s="83"/>
      <c r="B208" s="84"/>
      <c r="C208" s="85"/>
      <c r="D208" s="93"/>
      <c r="E208" s="85"/>
      <c r="F208" s="88"/>
      <c r="G208" s="89"/>
      <c r="H208" s="89"/>
      <c r="I208" s="89"/>
      <c r="J208" s="89"/>
      <c r="K208" s="90"/>
      <c r="L208" s="9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92"/>
      <c r="AD208" s="2"/>
      <c r="AE208" s="2"/>
      <c r="AF208" s="2"/>
      <c r="AG208" s="2"/>
      <c r="AH208" s="2"/>
      <c r="AI208" s="2"/>
      <c r="AJ208" s="2"/>
      <c r="AK208" s="2"/>
      <c r="AL208" s="54"/>
      <c r="AM208" s="54"/>
      <c r="AN208" s="54"/>
      <c r="AO208" s="54"/>
    </row>
    <row r="209" customFormat="false" ht="11.25" hidden="false" customHeight="true" outlineLevel="0" collapsed="false">
      <c r="A209" s="83"/>
      <c r="B209" s="84"/>
      <c r="C209" s="85"/>
      <c r="D209" s="93"/>
      <c r="E209" s="85"/>
      <c r="F209" s="88"/>
      <c r="G209" s="89"/>
      <c r="H209" s="89"/>
      <c r="I209" s="89"/>
      <c r="J209" s="89"/>
      <c r="K209" s="90"/>
      <c r="L209" s="9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92"/>
      <c r="AD209" s="2"/>
      <c r="AE209" s="2"/>
      <c r="AF209" s="2"/>
      <c r="AG209" s="2"/>
      <c r="AH209" s="2"/>
      <c r="AI209" s="2"/>
      <c r="AJ209" s="2"/>
      <c r="AK209" s="2"/>
      <c r="AL209" s="54"/>
      <c r="AM209" s="54"/>
      <c r="AN209" s="54"/>
      <c r="AO209" s="54"/>
    </row>
    <row r="210" customFormat="false" ht="11.25" hidden="false" customHeight="true" outlineLevel="0" collapsed="false">
      <c r="A210" s="83"/>
      <c r="B210" s="84"/>
      <c r="C210" s="85"/>
      <c r="D210" s="93"/>
      <c r="E210" s="85"/>
      <c r="F210" s="88"/>
      <c r="G210" s="89"/>
      <c r="H210" s="89"/>
      <c r="I210" s="89"/>
      <c r="J210" s="89"/>
      <c r="K210" s="90"/>
      <c r="L210" s="9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92"/>
      <c r="AD210" s="2"/>
      <c r="AE210" s="2"/>
      <c r="AF210" s="2"/>
      <c r="AG210" s="2"/>
      <c r="AH210" s="2"/>
      <c r="AI210" s="2"/>
      <c r="AJ210" s="2"/>
      <c r="AK210" s="2"/>
      <c r="AL210" s="54"/>
      <c r="AM210" s="54"/>
      <c r="AN210" s="54"/>
      <c r="AO210" s="54"/>
    </row>
    <row r="211" customFormat="false" ht="11.25" hidden="false" customHeight="true" outlineLevel="0" collapsed="false">
      <c r="A211" s="83"/>
      <c r="B211" s="84"/>
      <c r="C211" s="85"/>
      <c r="D211" s="93"/>
      <c r="E211" s="85"/>
      <c r="F211" s="88"/>
      <c r="G211" s="89"/>
      <c r="H211" s="89"/>
      <c r="I211" s="89"/>
      <c r="J211" s="89"/>
      <c r="K211" s="90"/>
      <c r="L211" s="9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92"/>
      <c r="AD211" s="2"/>
      <c r="AE211" s="2"/>
      <c r="AF211" s="2"/>
      <c r="AG211" s="2"/>
      <c r="AH211" s="2"/>
      <c r="AI211" s="2"/>
      <c r="AJ211" s="2"/>
      <c r="AK211" s="2"/>
      <c r="AL211" s="54"/>
      <c r="AM211" s="54"/>
      <c r="AN211" s="54"/>
      <c r="AO211" s="54"/>
    </row>
    <row r="212" customFormat="false" ht="11.25" hidden="false" customHeight="true" outlineLevel="0" collapsed="false">
      <c r="A212" s="83"/>
      <c r="B212" s="84"/>
      <c r="C212" s="85"/>
      <c r="D212" s="93"/>
      <c r="E212" s="85"/>
      <c r="F212" s="88"/>
      <c r="G212" s="89"/>
      <c r="H212" s="89"/>
      <c r="I212" s="89"/>
      <c r="J212" s="89"/>
      <c r="K212" s="90"/>
      <c r="L212" s="9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92"/>
      <c r="AD212" s="2"/>
      <c r="AE212" s="2"/>
      <c r="AF212" s="2"/>
      <c r="AG212" s="2"/>
      <c r="AH212" s="2"/>
      <c r="AI212" s="2"/>
      <c r="AJ212" s="2"/>
      <c r="AK212" s="2"/>
      <c r="AL212" s="54"/>
      <c r="AM212" s="54"/>
      <c r="AN212" s="54"/>
      <c r="AO212" s="54"/>
    </row>
    <row r="213" customFormat="false" ht="11.25" hidden="false" customHeight="true" outlineLevel="0" collapsed="false">
      <c r="A213" s="83"/>
      <c r="B213" s="84"/>
      <c r="C213" s="85"/>
      <c r="D213" s="93"/>
      <c r="E213" s="85"/>
      <c r="F213" s="88"/>
      <c r="G213" s="89"/>
      <c r="H213" s="89"/>
      <c r="I213" s="89"/>
      <c r="J213" s="89"/>
      <c r="K213" s="90"/>
      <c r="L213" s="9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92"/>
      <c r="AD213" s="2"/>
      <c r="AE213" s="2"/>
      <c r="AF213" s="2"/>
      <c r="AG213" s="2"/>
      <c r="AH213" s="2"/>
      <c r="AI213" s="2"/>
      <c r="AJ213" s="2"/>
      <c r="AK213" s="2"/>
      <c r="AL213" s="54"/>
      <c r="AM213" s="54"/>
      <c r="AN213" s="54"/>
      <c r="AO213" s="54"/>
    </row>
    <row r="214" customFormat="false" ht="11.25" hidden="false" customHeight="true" outlineLevel="0" collapsed="false">
      <c r="A214" s="83"/>
      <c r="B214" s="84"/>
      <c r="C214" s="85"/>
      <c r="D214" s="93"/>
      <c r="E214" s="85"/>
      <c r="F214" s="88"/>
      <c r="G214" s="89"/>
      <c r="H214" s="89"/>
      <c r="I214" s="89"/>
      <c r="J214" s="89"/>
      <c r="K214" s="90"/>
      <c r="L214" s="9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92"/>
      <c r="AD214" s="2"/>
      <c r="AE214" s="2"/>
      <c r="AF214" s="2"/>
      <c r="AG214" s="2"/>
      <c r="AH214" s="2"/>
      <c r="AI214" s="2"/>
      <c r="AJ214" s="2"/>
      <c r="AK214" s="2"/>
      <c r="AL214" s="54"/>
      <c r="AM214" s="54"/>
      <c r="AN214" s="54"/>
      <c r="AO214" s="54"/>
    </row>
    <row r="215" customFormat="false" ht="11.25" hidden="false" customHeight="true" outlineLevel="0" collapsed="false">
      <c r="A215" s="83"/>
      <c r="B215" s="84"/>
      <c r="C215" s="85"/>
      <c r="D215" s="93"/>
      <c r="E215" s="85"/>
      <c r="F215" s="88"/>
      <c r="G215" s="89"/>
      <c r="H215" s="89"/>
      <c r="I215" s="89"/>
      <c r="J215" s="89"/>
      <c r="K215" s="90"/>
      <c r="L215" s="9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92"/>
      <c r="AD215" s="2"/>
      <c r="AE215" s="2"/>
      <c r="AF215" s="2"/>
      <c r="AG215" s="2"/>
      <c r="AH215" s="2"/>
      <c r="AI215" s="2"/>
      <c r="AJ215" s="2"/>
      <c r="AK215" s="2"/>
      <c r="AL215" s="54"/>
      <c r="AM215" s="54"/>
      <c r="AN215" s="54"/>
      <c r="AO215" s="54"/>
    </row>
    <row r="216" customFormat="false" ht="11.25" hidden="false" customHeight="true" outlineLevel="0" collapsed="false">
      <c r="A216" s="83"/>
      <c r="B216" s="84"/>
      <c r="C216" s="85"/>
      <c r="D216" s="93"/>
      <c r="E216" s="85"/>
      <c r="F216" s="88"/>
      <c r="G216" s="89"/>
      <c r="H216" s="89"/>
      <c r="I216" s="89"/>
      <c r="J216" s="89"/>
      <c r="K216" s="90"/>
      <c r="L216" s="9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92"/>
      <c r="AD216" s="2"/>
      <c r="AE216" s="2"/>
      <c r="AF216" s="2"/>
      <c r="AG216" s="2"/>
      <c r="AH216" s="2"/>
      <c r="AI216" s="2"/>
      <c r="AJ216" s="2"/>
      <c r="AK216" s="2"/>
      <c r="AL216" s="54"/>
      <c r="AM216" s="54"/>
      <c r="AN216" s="54"/>
      <c r="AO216" s="54"/>
    </row>
    <row r="217" customFormat="false" ht="11.25" hidden="false" customHeight="true" outlineLevel="0" collapsed="false">
      <c r="A217" s="83"/>
      <c r="B217" s="84"/>
      <c r="C217" s="85"/>
      <c r="D217" s="93"/>
      <c r="E217" s="85"/>
      <c r="F217" s="88"/>
      <c r="G217" s="89"/>
      <c r="H217" s="89"/>
      <c r="I217" s="89"/>
      <c r="J217" s="89"/>
      <c r="K217" s="90"/>
      <c r="L217" s="9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92"/>
      <c r="AD217" s="2"/>
      <c r="AE217" s="2"/>
      <c r="AF217" s="2"/>
      <c r="AG217" s="2"/>
      <c r="AH217" s="2"/>
      <c r="AI217" s="2"/>
      <c r="AJ217" s="2"/>
      <c r="AK217" s="2"/>
      <c r="AL217" s="54"/>
      <c r="AM217" s="54"/>
      <c r="AN217" s="54"/>
      <c r="AO217" s="54"/>
    </row>
    <row r="218" customFormat="false" ht="11.25" hidden="false" customHeight="true" outlineLevel="0" collapsed="false">
      <c r="A218" s="83"/>
      <c r="B218" s="84"/>
      <c r="C218" s="85"/>
      <c r="D218" s="93"/>
      <c r="E218" s="85"/>
      <c r="F218" s="88"/>
      <c r="G218" s="89"/>
      <c r="H218" s="89"/>
      <c r="I218" s="89"/>
      <c r="J218" s="89"/>
      <c r="K218" s="90"/>
      <c r="L218" s="9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92"/>
      <c r="AD218" s="2"/>
      <c r="AE218" s="2"/>
      <c r="AF218" s="2"/>
      <c r="AG218" s="2"/>
      <c r="AH218" s="2"/>
      <c r="AI218" s="2"/>
      <c r="AJ218" s="2"/>
      <c r="AK218" s="2"/>
      <c r="AL218" s="54"/>
      <c r="AM218" s="54"/>
      <c r="AN218" s="54"/>
      <c r="AO218" s="54"/>
    </row>
    <row r="219" customFormat="false" ht="11.25" hidden="false" customHeight="true" outlineLevel="0" collapsed="false">
      <c r="A219" s="83"/>
      <c r="B219" s="84"/>
      <c r="C219" s="85"/>
      <c r="D219" s="93"/>
      <c r="E219" s="85"/>
      <c r="F219" s="88"/>
      <c r="G219" s="89"/>
      <c r="H219" s="89"/>
      <c r="I219" s="89"/>
      <c r="J219" s="89"/>
      <c r="K219" s="90"/>
      <c r="L219" s="9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92"/>
      <c r="AD219" s="2"/>
      <c r="AE219" s="2"/>
      <c r="AF219" s="2"/>
      <c r="AG219" s="2"/>
      <c r="AH219" s="2"/>
      <c r="AI219" s="2"/>
      <c r="AJ219" s="2"/>
      <c r="AK219" s="2"/>
      <c r="AL219" s="54"/>
      <c r="AM219" s="54"/>
      <c r="AN219" s="54"/>
      <c r="AO219" s="54"/>
    </row>
    <row r="220" customFormat="false" ht="11.25" hidden="false" customHeight="true" outlineLevel="0" collapsed="false">
      <c r="A220" s="83"/>
      <c r="B220" s="84"/>
      <c r="C220" s="85"/>
      <c r="D220" s="93"/>
      <c r="E220" s="85"/>
      <c r="F220" s="88"/>
      <c r="G220" s="89"/>
      <c r="H220" s="89"/>
      <c r="I220" s="89"/>
      <c r="J220" s="89"/>
      <c r="K220" s="90"/>
      <c r="L220" s="9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92"/>
      <c r="AD220" s="2"/>
      <c r="AE220" s="2"/>
      <c r="AF220" s="2"/>
      <c r="AG220" s="2"/>
      <c r="AH220" s="2"/>
      <c r="AI220" s="2"/>
      <c r="AJ220" s="2"/>
      <c r="AK220" s="2"/>
      <c r="AL220" s="54"/>
      <c r="AM220" s="54"/>
      <c r="AN220" s="54"/>
      <c r="AO220" s="54"/>
    </row>
    <row r="221" customFormat="false" ht="11.25" hidden="false" customHeight="true" outlineLevel="0" collapsed="false">
      <c r="A221" s="83"/>
      <c r="B221" s="84"/>
      <c r="C221" s="85"/>
      <c r="D221" s="93"/>
      <c r="E221" s="85"/>
      <c r="F221" s="88"/>
      <c r="G221" s="89"/>
      <c r="H221" s="89"/>
      <c r="I221" s="89"/>
      <c r="J221" s="89"/>
      <c r="K221" s="90"/>
      <c r="L221" s="9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92"/>
      <c r="AD221" s="2"/>
      <c r="AE221" s="2"/>
      <c r="AF221" s="2"/>
      <c r="AG221" s="2"/>
      <c r="AH221" s="2"/>
      <c r="AI221" s="2"/>
      <c r="AJ221" s="2"/>
      <c r="AK221" s="2"/>
      <c r="AL221" s="54"/>
      <c r="AM221" s="54"/>
      <c r="AN221" s="54"/>
      <c r="AO221" s="54"/>
    </row>
    <row r="222" customFormat="false" ht="11.25" hidden="false" customHeight="true" outlineLevel="0" collapsed="false">
      <c r="A222" s="83"/>
      <c r="B222" s="84"/>
      <c r="C222" s="85"/>
      <c r="D222" s="93"/>
      <c r="E222" s="85"/>
      <c r="F222" s="88"/>
      <c r="G222" s="89"/>
      <c r="H222" s="89"/>
      <c r="I222" s="89"/>
      <c r="J222" s="89"/>
      <c r="K222" s="90"/>
      <c r="L222" s="91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92"/>
      <c r="AD222" s="2"/>
      <c r="AE222" s="2"/>
      <c r="AF222" s="2"/>
      <c r="AG222" s="2"/>
      <c r="AH222" s="2"/>
      <c r="AI222" s="2"/>
      <c r="AJ222" s="2"/>
      <c r="AK222" s="2"/>
      <c r="AL222" s="54"/>
      <c r="AM222" s="54"/>
      <c r="AN222" s="54"/>
      <c r="AO222" s="54"/>
    </row>
    <row r="223" customFormat="false" ht="11.25" hidden="false" customHeight="true" outlineLevel="0" collapsed="false">
      <c r="A223" s="83"/>
      <c r="B223" s="84"/>
      <c r="C223" s="85"/>
      <c r="D223" s="93"/>
      <c r="E223" s="85"/>
      <c r="F223" s="88"/>
      <c r="G223" s="89"/>
      <c r="H223" s="89"/>
      <c r="I223" s="89"/>
      <c r="J223" s="89"/>
      <c r="K223" s="90"/>
      <c r="L223" s="91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92"/>
      <c r="AD223" s="2"/>
      <c r="AE223" s="2"/>
      <c r="AF223" s="2"/>
      <c r="AG223" s="2"/>
      <c r="AH223" s="2"/>
      <c r="AI223" s="2"/>
      <c r="AJ223" s="2"/>
      <c r="AK223" s="2"/>
      <c r="AL223" s="54"/>
      <c r="AM223" s="54"/>
      <c r="AN223" s="54"/>
      <c r="AO223" s="54"/>
    </row>
    <row r="224" customFormat="false" ht="11.25" hidden="false" customHeight="true" outlineLevel="0" collapsed="false">
      <c r="A224" s="83"/>
      <c r="B224" s="84"/>
      <c r="C224" s="85"/>
      <c r="D224" s="93"/>
      <c r="E224" s="85"/>
      <c r="F224" s="88"/>
      <c r="G224" s="89"/>
      <c r="H224" s="89"/>
      <c r="I224" s="89"/>
      <c r="J224" s="89"/>
      <c r="K224" s="90"/>
      <c r="L224" s="91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92"/>
      <c r="AD224" s="2"/>
      <c r="AE224" s="2"/>
      <c r="AF224" s="2"/>
      <c r="AG224" s="2"/>
      <c r="AH224" s="2"/>
      <c r="AI224" s="2"/>
      <c r="AJ224" s="2"/>
      <c r="AK224" s="2"/>
      <c r="AL224" s="54"/>
      <c r="AM224" s="54"/>
      <c r="AN224" s="54"/>
      <c r="AO224" s="54"/>
    </row>
    <row r="225" customFormat="false" ht="11.25" hidden="false" customHeight="true" outlineLevel="0" collapsed="false">
      <c r="A225" s="83"/>
      <c r="B225" s="84"/>
      <c r="C225" s="85"/>
      <c r="D225" s="93"/>
      <c r="E225" s="85"/>
      <c r="F225" s="88"/>
      <c r="G225" s="89"/>
      <c r="H225" s="89"/>
      <c r="I225" s="89"/>
      <c r="J225" s="89"/>
      <c r="K225" s="90"/>
      <c r="L225" s="91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92"/>
      <c r="AD225" s="2"/>
      <c r="AE225" s="2"/>
      <c r="AF225" s="2"/>
      <c r="AG225" s="2"/>
      <c r="AH225" s="2"/>
      <c r="AI225" s="2"/>
      <c r="AJ225" s="2"/>
      <c r="AK225" s="2"/>
      <c r="AL225" s="54"/>
      <c r="AM225" s="54"/>
      <c r="AN225" s="54"/>
      <c r="AO225" s="54"/>
    </row>
    <row r="226" customFormat="false" ht="11.25" hidden="false" customHeight="true" outlineLevel="0" collapsed="false">
      <c r="A226" s="83"/>
      <c r="B226" s="84"/>
      <c r="C226" s="85"/>
      <c r="D226" s="93"/>
      <c r="E226" s="85"/>
      <c r="F226" s="88"/>
      <c r="G226" s="89"/>
      <c r="H226" s="89"/>
      <c r="I226" s="89"/>
      <c r="J226" s="89"/>
      <c r="K226" s="90"/>
      <c r="L226" s="91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92"/>
      <c r="AD226" s="2"/>
      <c r="AE226" s="2"/>
      <c r="AF226" s="2"/>
      <c r="AG226" s="2"/>
      <c r="AH226" s="2"/>
      <c r="AI226" s="2"/>
      <c r="AJ226" s="2"/>
      <c r="AK226" s="2"/>
      <c r="AL226" s="54"/>
      <c r="AM226" s="54"/>
      <c r="AN226" s="54"/>
      <c r="AO226" s="54"/>
    </row>
    <row r="227" customFormat="false" ht="11.25" hidden="false" customHeight="true" outlineLevel="0" collapsed="false">
      <c r="A227" s="83"/>
      <c r="B227" s="84"/>
      <c r="C227" s="85"/>
      <c r="D227" s="93"/>
      <c r="E227" s="85"/>
      <c r="F227" s="88"/>
      <c r="G227" s="89"/>
      <c r="H227" s="89"/>
      <c r="I227" s="89"/>
      <c r="J227" s="89"/>
      <c r="K227" s="90"/>
      <c r="L227" s="91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92"/>
      <c r="AD227" s="2"/>
      <c r="AE227" s="2"/>
      <c r="AF227" s="2"/>
      <c r="AG227" s="2"/>
      <c r="AH227" s="2"/>
      <c r="AI227" s="2"/>
      <c r="AJ227" s="2"/>
      <c r="AK227" s="2"/>
      <c r="AL227" s="54"/>
      <c r="AM227" s="54"/>
      <c r="AN227" s="54"/>
      <c r="AO227" s="54"/>
    </row>
    <row r="228" customFormat="false" ht="11.25" hidden="false" customHeight="true" outlineLevel="0" collapsed="false">
      <c r="A228" s="83"/>
      <c r="B228" s="84"/>
      <c r="C228" s="85"/>
      <c r="D228" s="93"/>
      <c r="E228" s="85"/>
      <c r="F228" s="88"/>
      <c r="G228" s="89"/>
      <c r="H228" s="89"/>
      <c r="I228" s="89"/>
      <c r="J228" s="89"/>
      <c r="K228" s="90"/>
      <c r="L228" s="91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92"/>
      <c r="AD228" s="2"/>
      <c r="AE228" s="2"/>
      <c r="AF228" s="2"/>
      <c r="AG228" s="2"/>
      <c r="AH228" s="2"/>
      <c r="AI228" s="2"/>
      <c r="AJ228" s="2"/>
      <c r="AK228" s="2"/>
      <c r="AL228" s="54"/>
      <c r="AM228" s="54"/>
      <c r="AN228" s="54"/>
      <c r="AO228" s="54"/>
    </row>
    <row r="229" customFormat="false" ht="11.25" hidden="false" customHeight="true" outlineLevel="0" collapsed="false">
      <c r="A229" s="83"/>
      <c r="B229" s="84"/>
      <c r="C229" s="85"/>
      <c r="D229" s="93"/>
      <c r="E229" s="85"/>
      <c r="F229" s="88"/>
      <c r="G229" s="89"/>
      <c r="H229" s="89"/>
      <c r="I229" s="89"/>
      <c r="J229" s="89"/>
      <c r="K229" s="90"/>
      <c r="L229" s="91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92"/>
      <c r="AD229" s="2"/>
      <c r="AE229" s="2"/>
      <c r="AF229" s="2"/>
      <c r="AG229" s="2"/>
      <c r="AH229" s="2"/>
      <c r="AI229" s="2"/>
      <c r="AJ229" s="2"/>
      <c r="AK229" s="2"/>
      <c r="AL229" s="54"/>
      <c r="AM229" s="54"/>
      <c r="AN229" s="54"/>
      <c r="AO229" s="54"/>
    </row>
    <row r="230" customFormat="false" ht="11.25" hidden="false" customHeight="true" outlineLevel="0" collapsed="false">
      <c r="A230" s="83"/>
      <c r="B230" s="84"/>
      <c r="C230" s="85"/>
      <c r="D230" s="93"/>
      <c r="E230" s="85"/>
      <c r="F230" s="88"/>
      <c r="G230" s="89"/>
      <c r="H230" s="89"/>
      <c r="I230" s="89"/>
      <c r="J230" s="89"/>
      <c r="K230" s="90"/>
      <c r="L230" s="91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92"/>
      <c r="AD230" s="2"/>
      <c r="AE230" s="2"/>
      <c r="AF230" s="2"/>
      <c r="AG230" s="2"/>
      <c r="AH230" s="2"/>
      <c r="AI230" s="2"/>
      <c r="AJ230" s="2"/>
      <c r="AK230" s="2"/>
      <c r="AL230" s="54"/>
      <c r="AM230" s="54"/>
      <c r="AN230" s="54"/>
      <c r="AO230" s="54"/>
    </row>
    <row r="231" customFormat="false" ht="11.25" hidden="false" customHeight="true" outlineLevel="0" collapsed="false">
      <c r="A231" s="83"/>
      <c r="B231" s="84"/>
      <c r="C231" s="85"/>
      <c r="D231" s="93"/>
      <c r="E231" s="85"/>
      <c r="F231" s="88"/>
      <c r="G231" s="89"/>
      <c r="H231" s="89"/>
      <c r="I231" s="89"/>
      <c r="J231" s="89"/>
      <c r="K231" s="90"/>
      <c r="L231" s="91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92"/>
      <c r="AD231" s="2"/>
      <c r="AE231" s="2"/>
      <c r="AF231" s="2"/>
      <c r="AG231" s="2"/>
      <c r="AH231" s="2"/>
      <c r="AI231" s="2"/>
      <c r="AJ231" s="2"/>
      <c r="AK231" s="2"/>
      <c r="AL231" s="54"/>
      <c r="AM231" s="54"/>
      <c r="AN231" s="54"/>
      <c r="AO231" s="54"/>
    </row>
    <row r="232" customFormat="false" ht="11.25" hidden="false" customHeight="true" outlineLevel="0" collapsed="false">
      <c r="A232" s="83"/>
      <c r="B232" s="84"/>
      <c r="C232" s="85"/>
      <c r="D232" s="93"/>
      <c r="E232" s="85"/>
      <c r="F232" s="88"/>
      <c r="G232" s="89"/>
      <c r="H232" s="89"/>
      <c r="I232" s="89"/>
      <c r="J232" s="89"/>
      <c r="K232" s="90"/>
      <c r="L232" s="91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92"/>
      <c r="AD232" s="2"/>
      <c r="AE232" s="2"/>
      <c r="AF232" s="2"/>
      <c r="AG232" s="2"/>
      <c r="AH232" s="2"/>
      <c r="AI232" s="2"/>
      <c r="AJ232" s="2"/>
      <c r="AK232" s="2"/>
      <c r="AL232" s="54"/>
      <c r="AM232" s="54"/>
      <c r="AN232" s="54"/>
      <c r="AO232" s="54"/>
    </row>
    <row r="233" customFormat="false" ht="11.25" hidden="false" customHeight="true" outlineLevel="0" collapsed="false">
      <c r="A233" s="83"/>
      <c r="B233" s="84"/>
      <c r="C233" s="85"/>
      <c r="D233" s="93"/>
      <c r="E233" s="85"/>
      <c r="F233" s="88"/>
      <c r="G233" s="89"/>
      <c r="H233" s="89"/>
      <c r="I233" s="89"/>
      <c r="J233" s="89"/>
      <c r="K233" s="90"/>
      <c r="L233" s="91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92"/>
      <c r="AD233" s="2"/>
      <c r="AE233" s="2"/>
      <c r="AF233" s="2"/>
      <c r="AG233" s="2"/>
      <c r="AH233" s="2"/>
      <c r="AI233" s="2"/>
      <c r="AJ233" s="2"/>
      <c r="AK233" s="2"/>
      <c r="AL233" s="54"/>
      <c r="AM233" s="54"/>
      <c r="AN233" s="54"/>
      <c r="AO233" s="54"/>
    </row>
    <row r="234" customFormat="false" ht="11.25" hidden="false" customHeight="true" outlineLevel="0" collapsed="false">
      <c r="A234" s="83"/>
      <c r="B234" s="84"/>
      <c r="C234" s="85"/>
      <c r="D234" s="93"/>
      <c r="E234" s="85"/>
      <c r="F234" s="88"/>
      <c r="G234" s="89"/>
      <c r="H234" s="89"/>
      <c r="I234" s="89"/>
      <c r="J234" s="89"/>
      <c r="K234" s="90"/>
      <c r="L234" s="91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92"/>
      <c r="AD234" s="2"/>
      <c r="AE234" s="2"/>
      <c r="AF234" s="2"/>
      <c r="AG234" s="2"/>
      <c r="AH234" s="2"/>
      <c r="AI234" s="2"/>
      <c r="AJ234" s="2"/>
      <c r="AK234" s="2"/>
      <c r="AL234" s="54"/>
      <c r="AM234" s="54"/>
      <c r="AN234" s="54"/>
      <c r="AO234" s="54"/>
    </row>
    <row r="235" customFormat="false" ht="11.25" hidden="false" customHeight="true" outlineLevel="0" collapsed="false">
      <c r="A235" s="83"/>
      <c r="B235" s="84"/>
      <c r="C235" s="85"/>
      <c r="D235" s="93"/>
      <c r="E235" s="85"/>
      <c r="F235" s="88"/>
      <c r="G235" s="89"/>
      <c r="H235" s="89"/>
      <c r="I235" s="89"/>
      <c r="J235" s="89"/>
      <c r="K235" s="90"/>
      <c r="L235" s="91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92"/>
      <c r="AD235" s="2"/>
      <c r="AE235" s="2"/>
      <c r="AF235" s="2"/>
      <c r="AG235" s="2"/>
      <c r="AH235" s="2"/>
      <c r="AI235" s="2"/>
      <c r="AJ235" s="2"/>
      <c r="AK235" s="2"/>
      <c r="AL235" s="54"/>
      <c r="AM235" s="54"/>
      <c r="AN235" s="54"/>
      <c r="AO235" s="54"/>
    </row>
    <row r="236" customFormat="false" ht="11.25" hidden="false" customHeight="true" outlineLevel="0" collapsed="false">
      <c r="A236" s="83"/>
      <c r="B236" s="84"/>
      <c r="C236" s="85"/>
      <c r="D236" s="93"/>
      <c r="E236" s="85"/>
      <c r="F236" s="88"/>
      <c r="G236" s="89"/>
      <c r="H236" s="89"/>
      <c r="I236" s="89"/>
      <c r="J236" s="89"/>
      <c r="K236" s="90"/>
      <c r="L236" s="91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92"/>
      <c r="AD236" s="2"/>
      <c r="AE236" s="2"/>
      <c r="AF236" s="2"/>
      <c r="AG236" s="2"/>
      <c r="AH236" s="2"/>
      <c r="AI236" s="2"/>
      <c r="AJ236" s="2"/>
      <c r="AK236" s="2"/>
      <c r="AL236" s="54"/>
      <c r="AM236" s="54"/>
      <c r="AN236" s="54"/>
      <c r="AO236" s="54"/>
    </row>
    <row r="237" customFormat="false" ht="11.25" hidden="false" customHeight="true" outlineLevel="0" collapsed="false">
      <c r="A237" s="83"/>
      <c r="B237" s="84"/>
      <c r="C237" s="85"/>
      <c r="D237" s="93"/>
      <c r="E237" s="85"/>
      <c r="F237" s="88"/>
      <c r="G237" s="89"/>
      <c r="H237" s="89"/>
      <c r="I237" s="89"/>
      <c r="J237" s="89"/>
      <c r="K237" s="90"/>
      <c r="L237" s="91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92"/>
      <c r="AD237" s="2"/>
      <c r="AE237" s="2"/>
      <c r="AF237" s="2"/>
      <c r="AG237" s="2"/>
      <c r="AH237" s="2"/>
      <c r="AI237" s="2"/>
      <c r="AJ237" s="2"/>
      <c r="AK237" s="2"/>
      <c r="AL237" s="54"/>
      <c r="AM237" s="54"/>
      <c r="AN237" s="54"/>
      <c r="AO237" s="54"/>
    </row>
    <row r="238" customFormat="false" ht="11.25" hidden="false" customHeight="true" outlineLevel="0" collapsed="false">
      <c r="A238" s="83"/>
      <c r="B238" s="84"/>
      <c r="C238" s="85"/>
      <c r="D238" s="93"/>
      <c r="E238" s="85"/>
      <c r="F238" s="88"/>
      <c r="G238" s="89"/>
      <c r="H238" s="89"/>
      <c r="I238" s="89"/>
      <c r="J238" s="89"/>
      <c r="K238" s="90"/>
      <c r="L238" s="91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92"/>
      <c r="AD238" s="2"/>
      <c r="AE238" s="2"/>
      <c r="AF238" s="2"/>
      <c r="AG238" s="2"/>
      <c r="AH238" s="2"/>
      <c r="AI238" s="2"/>
      <c r="AJ238" s="2"/>
      <c r="AK238" s="2"/>
      <c r="AL238" s="54"/>
      <c r="AM238" s="54"/>
      <c r="AN238" s="54"/>
      <c r="AO238" s="54"/>
    </row>
    <row r="239" customFormat="false" ht="11.25" hidden="false" customHeight="true" outlineLevel="0" collapsed="false">
      <c r="A239" s="83"/>
      <c r="B239" s="84"/>
      <c r="C239" s="85"/>
      <c r="D239" s="93"/>
      <c r="E239" s="85"/>
      <c r="F239" s="88"/>
      <c r="G239" s="89"/>
      <c r="H239" s="89"/>
      <c r="I239" s="89"/>
      <c r="J239" s="89"/>
      <c r="K239" s="90"/>
      <c r="L239" s="91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92"/>
      <c r="AD239" s="2"/>
      <c r="AE239" s="2"/>
      <c r="AF239" s="2"/>
      <c r="AG239" s="2"/>
      <c r="AH239" s="2"/>
      <c r="AI239" s="2"/>
      <c r="AJ239" s="2"/>
      <c r="AK239" s="2"/>
      <c r="AL239" s="54"/>
      <c r="AM239" s="54"/>
      <c r="AN239" s="54"/>
      <c r="AO239" s="54"/>
    </row>
    <row r="240" customFormat="false" ht="11.25" hidden="false" customHeight="true" outlineLevel="0" collapsed="false">
      <c r="A240" s="83"/>
      <c r="B240" s="84"/>
      <c r="C240" s="85"/>
      <c r="D240" s="93"/>
      <c r="E240" s="85"/>
      <c r="F240" s="88"/>
      <c r="G240" s="89"/>
      <c r="H240" s="89"/>
      <c r="I240" s="89"/>
      <c r="J240" s="89"/>
      <c r="K240" s="90"/>
      <c r="L240" s="91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92"/>
      <c r="AD240" s="2"/>
      <c r="AE240" s="2"/>
      <c r="AF240" s="2"/>
      <c r="AG240" s="2"/>
      <c r="AH240" s="2"/>
      <c r="AI240" s="2"/>
      <c r="AJ240" s="2"/>
      <c r="AK240" s="2"/>
      <c r="AL240" s="54"/>
      <c r="AM240" s="54"/>
      <c r="AN240" s="54"/>
      <c r="AO240" s="54"/>
    </row>
    <row r="241" customFormat="false" ht="11.25" hidden="false" customHeight="true" outlineLevel="0" collapsed="false">
      <c r="A241" s="83"/>
      <c r="B241" s="84"/>
      <c r="C241" s="85"/>
      <c r="D241" s="93"/>
      <c r="E241" s="85"/>
      <c r="F241" s="88"/>
      <c r="G241" s="89"/>
      <c r="H241" s="89"/>
      <c r="I241" s="89"/>
      <c r="J241" s="89"/>
      <c r="K241" s="90"/>
      <c r="L241" s="91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92"/>
      <c r="AD241" s="2"/>
      <c r="AE241" s="2"/>
      <c r="AF241" s="2"/>
      <c r="AG241" s="2"/>
      <c r="AH241" s="2"/>
      <c r="AI241" s="2"/>
      <c r="AJ241" s="2"/>
      <c r="AK241" s="2"/>
      <c r="AL241" s="54"/>
      <c r="AM241" s="54"/>
      <c r="AN241" s="54"/>
      <c r="AO241" s="54"/>
    </row>
    <row r="242" customFormat="false" ht="11.25" hidden="false" customHeight="true" outlineLevel="0" collapsed="false">
      <c r="A242" s="83"/>
      <c r="B242" s="84"/>
      <c r="C242" s="85"/>
      <c r="D242" s="93"/>
      <c r="E242" s="85"/>
      <c r="F242" s="88"/>
      <c r="G242" s="89"/>
      <c r="H242" s="89"/>
      <c r="I242" s="89"/>
      <c r="J242" s="89"/>
      <c r="K242" s="90"/>
      <c r="L242" s="91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92"/>
      <c r="AD242" s="2"/>
      <c r="AE242" s="2"/>
      <c r="AF242" s="2"/>
      <c r="AG242" s="2"/>
      <c r="AH242" s="2"/>
      <c r="AI242" s="2"/>
      <c r="AJ242" s="2"/>
      <c r="AK242" s="2"/>
      <c r="AL242" s="54"/>
      <c r="AM242" s="54"/>
      <c r="AN242" s="54"/>
      <c r="AO242" s="54"/>
    </row>
    <row r="243" customFormat="false" ht="11.25" hidden="false" customHeight="true" outlineLevel="0" collapsed="false">
      <c r="A243" s="83"/>
      <c r="B243" s="84"/>
      <c r="C243" s="85"/>
      <c r="D243" s="93"/>
      <c r="E243" s="85"/>
      <c r="F243" s="88"/>
      <c r="G243" s="89"/>
      <c r="H243" s="89"/>
      <c r="I243" s="89"/>
      <c r="J243" s="89"/>
      <c r="K243" s="90"/>
      <c r="L243" s="91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92"/>
      <c r="AD243" s="2"/>
      <c r="AE243" s="2"/>
      <c r="AF243" s="2"/>
      <c r="AG243" s="2"/>
      <c r="AH243" s="2"/>
      <c r="AI243" s="2"/>
      <c r="AJ243" s="2"/>
      <c r="AK243" s="2"/>
      <c r="AL243" s="54"/>
      <c r="AM243" s="54"/>
      <c r="AN243" s="54"/>
      <c r="AO243" s="54"/>
    </row>
    <row r="244" customFormat="false" ht="11.25" hidden="false" customHeight="true" outlineLevel="0" collapsed="false">
      <c r="A244" s="83"/>
      <c r="B244" s="84"/>
      <c r="C244" s="85"/>
      <c r="D244" s="93"/>
      <c r="E244" s="85"/>
      <c r="F244" s="88"/>
      <c r="G244" s="89"/>
      <c r="H244" s="89"/>
      <c r="I244" s="89"/>
      <c r="J244" s="89"/>
      <c r="K244" s="90"/>
      <c r="L244" s="91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92"/>
      <c r="AD244" s="2"/>
      <c r="AE244" s="2"/>
      <c r="AF244" s="2"/>
      <c r="AG244" s="2"/>
      <c r="AH244" s="2"/>
      <c r="AI244" s="2"/>
      <c r="AJ244" s="2"/>
      <c r="AK244" s="2"/>
      <c r="AL244" s="54"/>
      <c r="AM244" s="54"/>
      <c r="AN244" s="54"/>
      <c r="AO244" s="54"/>
    </row>
    <row r="245" customFormat="false" ht="11.25" hidden="false" customHeight="true" outlineLevel="0" collapsed="false">
      <c r="A245" s="83"/>
      <c r="B245" s="84"/>
      <c r="C245" s="85"/>
      <c r="D245" s="93"/>
      <c r="E245" s="85"/>
      <c r="F245" s="88"/>
      <c r="G245" s="89"/>
      <c r="H245" s="89"/>
      <c r="I245" s="89"/>
      <c r="J245" s="89"/>
      <c r="K245" s="90"/>
      <c r="L245" s="91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92"/>
      <c r="AD245" s="2"/>
      <c r="AE245" s="2"/>
      <c r="AF245" s="2"/>
      <c r="AG245" s="2"/>
      <c r="AH245" s="2"/>
      <c r="AI245" s="2"/>
      <c r="AJ245" s="2"/>
      <c r="AK245" s="2"/>
      <c r="AL245" s="54"/>
      <c r="AM245" s="54"/>
      <c r="AN245" s="54"/>
      <c r="AO245" s="54"/>
    </row>
    <row r="246" customFormat="false" ht="11.25" hidden="false" customHeight="true" outlineLevel="0" collapsed="false">
      <c r="A246" s="83"/>
      <c r="B246" s="84"/>
      <c r="C246" s="85"/>
      <c r="D246" s="93"/>
      <c r="E246" s="85"/>
      <c r="F246" s="88"/>
      <c r="G246" s="89"/>
      <c r="H246" s="89"/>
      <c r="I246" s="89"/>
      <c r="J246" s="89"/>
      <c r="K246" s="90"/>
      <c r="L246" s="91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92"/>
      <c r="AD246" s="2"/>
      <c r="AE246" s="2"/>
      <c r="AF246" s="2"/>
      <c r="AG246" s="2"/>
      <c r="AH246" s="2"/>
      <c r="AI246" s="2"/>
      <c r="AJ246" s="2"/>
      <c r="AK246" s="2"/>
      <c r="AL246" s="54"/>
      <c r="AM246" s="54"/>
      <c r="AN246" s="54"/>
      <c r="AO246" s="54"/>
    </row>
    <row r="247" customFormat="false" ht="11.25" hidden="false" customHeight="true" outlineLevel="0" collapsed="false">
      <c r="A247" s="83"/>
      <c r="B247" s="84"/>
      <c r="C247" s="85"/>
      <c r="D247" s="93"/>
      <c r="E247" s="85"/>
      <c r="F247" s="88"/>
      <c r="G247" s="89"/>
      <c r="H247" s="89"/>
      <c r="I247" s="89"/>
      <c r="J247" s="89"/>
      <c r="K247" s="90"/>
      <c r="L247" s="91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92"/>
      <c r="AD247" s="2"/>
      <c r="AE247" s="2"/>
      <c r="AF247" s="2"/>
      <c r="AG247" s="2"/>
      <c r="AH247" s="2"/>
      <c r="AI247" s="2"/>
      <c r="AJ247" s="2"/>
      <c r="AK247" s="2"/>
      <c r="AL247" s="54"/>
      <c r="AM247" s="54"/>
      <c r="AN247" s="54"/>
      <c r="AO247" s="54"/>
    </row>
    <row r="248" customFormat="false" ht="11.25" hidden="false" customHeight="true" outlineLevel="0" collapsed="false">
      <c r="A248" s="83"/>
      <c r="B248" s="84"/>
      <c r="C248" s="85"/>
      <c r="D248" s="93"/>
      <c r="E248" s="85"/>
      <c r="F248" s="88"/>
      <c r="G248" s="89"/>
      <c r="H248" s="89"/>
      <c r="I248" s="89"/>
      <c r="J248" s="89"/>
      <c r="K248" s="90"/>
      <c r="L248" s="91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92"/>
      <c r="AD248" s="2"/>
      <c r="AE248" s="2"/>
      <c r="AF248" s="2"/>
      <c r="AG248" s="2"/>
      <c r="AH248" s="2"/>
      <c r="AI248" s="2"/>
      <c r="AJ248" s="2"/>
      <c r="AK248" s="2"/>
      <c r="AL248" s="54"/>
      <c r="AM248" s="54"/>
      <c r="AN248" s="54"/>
      <c r="AO248" s="54"/>
    </row>
    <row r="249" customFormat="false" ht="11.25" hidden="false" customHeight="true" outlineLevel="0" collapsed="false">
      <c r="A249" s="83"/>
      <c r="B249" s="84"/>
      <c r="C249" s="85"/>
      <c r="D249" s="93"/>
      <c r="E249" s="85"/>
      <c r="F249" s="88"/>
      <c r="G249" s="89"/>
      <c r="H249" s="89"/>
      <c r="I249" s="89"/>
      <c r="J249" s="89"/>
      <c r="K249" s="90"/>
      <c r="L249" s="91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92"/>
      <c r="AD249" s="2"/>
      <c r="AE249" s="2"/>
      <c r="AF249" s="2"/>
      <c r="AG249" s="2"/>
      <c r="AH249" s="2"/>
      <c r="AI249" s="2"/>
      <c r="AJ249" s="2"/>
      <c r="AK249" s="2"/>
      <c r="AL249" s="54"/>
      <c r="AM249" s="54"/>
      <c r="AN249" s="54"/>
      <c r="AO249" s="54"/>
    </row>
    <row r="250" customFormat="false" ht="11.25" hidden="false" customHeight="true" outlineLevel="0" collapsed="false">
      <c r="A250" s="83"/>
      <c r="B250" s="84"/>
      <c r="C250" s="85"/>
      <c r="D250" s="93"/>
      <c r="E250" s="85"/>
      <c r="F250" s="88"/>
      <c r="G250" s="89"/>
      <c r="H250" s="89"/>
      <c r="I250" s="89"/>
      <c r="J250" s="89"/>
      <c r="K250" s="90"/>
      <c r="L250" s="91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92"/>
      <c r="AD250" s="2"/>
      <c r="AE250" s="2"/>
      <c r="AF250" s="2"/>
      <c r="AG250" s="2"/>
      <c r="AH250" s="2"/>
      <c r="AI250" s="2"/>
      <c r="AJ250" s="2"/>
      <c r="AK250" s="2"/>
      <c r="AL250" s="54"/>
      <c r="AM250" s="54"/>
      <c r="AN250" s="54"/>
      <c r="AO250" s="54"/>
    </row>
    <row r="251" customFormat="false" ht="11.25" hidden="false" customHeight="true" outlineLevel="0" collapsed="false">
      <c r="A251" s="83"/>
      <c r="B251" s="84"/>
      <c r="C251" s="85"/>
      <c r="D251" s="93"/>
      <c r="E251" s="85"/>
      <c r="F251" s="88"/>
      <c r="G251" s="89"/>
      <c r="H251" s="89"/>
      <c r="I251" s="89"/>
      <c r="J251" s="89"/>
      <c r="K251" s="90"/>
      <c r="L251" s="91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92"/>
      <c r="AD251" s="2"/>
      <c r="AE251" s="2"/>
      <c r="AF251" s="2"/>
      <c r="AG251" s="2"/>
      <c r="AH251" s="2"/>
      <c r="AI251" s="2"/>
      <c r="AJ251" s="2"/>
      <c r="AK251" s="2"/>
      <c r="AL251" s="54"/>
      <c r="AM251" s="54"/>
      <c r="AN251" s="54"/>
      <c r="AO251" s="54"/>
    </row>
    <row r="252" customFormat="false" ht="11.25" hidden="false" customHeight="true" outlineLevel="0" collapsed="false">
      <c r="A252" s="83"/>
      <c r="B252" s="84"/>
      <c r="C252" s="85"/>
      <c r="D252" s="93"/>
      <c r="E252" s="85"/>
      <c r="F252" s="88"/>
      <c r="G252" s="89"/>
      <c r="H252" s="89"/>
      <c r="I252" s="89"/>
      <c r="J252" s="89"/>
      <c r="K252" s="90"/>
      <c r="L252" s="91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92"/>
      <c r="AD252" s="2"/>
      <c r="AE252" s="2"/>
      <c r="AF252" s="2"/>
      <c r="AG252" s="2"/>
      <c r="AH252" s="2"/>
      <c r="AI252" s="2"/>
      <c r="AJ252" s="2"/>
      <c r="AK252" s="2"/>
      <c r="AL252" s="54"/>
      <c r="AM252" s="54"/>
      <c r="AN252" s="54"/>
      <c r="AO252" s="54"/>
    </row>
    <row r="253" customFormat="false" ht="11.25" hidden="false" customHeight="true" outlineLevel="0" collapsed="false">
      <c r="A253" s="83"/>
      <c r="B253" s="84"/>
      <c r="C253" s="85"/>
      <c r="D253" s="93"/>
      <c r="E253" s="85"/>
      <c r="F253" s="88"/>
      <c r="G253" s="89"/>
      <c r="H253" s="89"/>
      <c r="I253" s="89"/>
      <c r="J253" s="89"/>
      <c r="K253" s="90"/>
      <c r="L253" s="91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92"/>
      <c r="AD253" s="2"/>
      <c r="AE253" s="2"/>
      <c r="AF253" s="2"/>
      <c r="AG253" s="2"/>
      <c r="AH253" s="2"/>
      <c r="AI253" s="2"/>
      <c r="AJ253" s="2"/>
      <c r="AK253" s="2"/>
      <c r="AL253" s="54"/>
      <c r="AM253" s="54"/>
      <c r="AN253" s="54"/>
      <c r="AO253" s="54"/>
    </row>
    <row r="254" customFormat="false" ht="11.25" hidden="false" customHeight="true" outlineLevel="0" collapsed="false">
      <c r="A254" s="83"/>
      <c r="B254" s="84"/>
      <c r="C254" s="85"/>
      <c r="D254" s="93"/>
      <c r="E254" s="85"/>
      <c r="F254" s="88"/>
      <c r="G254" s="89"/>
      <c r="H254" s="89"/>
      <c r="I254" s="89"/>
      <c r="J254" s="89"/>
      <c r="K254" s="90"/>
      <c r="L254" s="91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92"/>
      <c r="AD254" s="2"/>
      <c r="AE254" s="2"/>
      <c r="AF254" s="2"/>
      <c r="AG254" s="2"/>
      <c r="AH254" s="2"/>
      <c r="AI254" s="2"/>
      <c r="AJ254" s="2"/>
      <c r="AK254" s="2"/>
      <c r="AL254" s="54"/>
      <c r="AM254" s="54"/>
      <c r="AN254" s="54"/>
      <c r="AO254" s="54"/>
    </row>
    <row r="255" customFormat="false" ht="11.25" hidden="false" customHeight="true" outlineLevel="0" collapsed="false">
      <c r="A255" s="83"/>
      <c r="B255" s="84"/>
      <c r="C255" s="85"/>
      <c r="D255" s="93"/>
      <c r="E255" s="85"/>
      <c r="F255" s="88"/>
      <c r="G255" s="89"/>
      <c r="H255" s="89"/>
      <c r="I255" s="89"/>
      <c r="J255" s="89"/>
      <c r="K255" s="90"/>
      <c r="L255" s="91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92"/>
      <c r="AD255" s="2"/>
      <c r="AE255" s="2"/>
      <c r="AF255" s="2"/>
      <c r="AG255" s="2"/>
      <c r="AH255" s="2"/>
      <c r="AI255" s="2"/>
      <c r="AJ255" s="2"/>
      <c r="AK255" s="2"/>
      <c r="AL255" s="54"/>
      <c r="AM255" s="54"/>
      <c r="AN255" s="54"/>
      <c r="AO255" s="54"/>
    </row>
    <row r="256" customFormat="false" ht="11.25" hidden="false" customHeight="true" outlineLevel="0" collapsed="false">
      <c r="A256" s="83"/>
      <c r="B256" s="84"/>
      <c r="C256" s="85"/>
      <c r="D256" s="93"/>
      <c r="E256" s="85"/>
      <c r="F256" s="88"/>
      <c r="G256" s="89"/>
      <c r="H256" s="89"/>
      <c r="I256" s="89"/>
      <c r="J256" s="89"/>
      <c r="K256" s="90"/>
      <c r="L256" s="91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92"/>
      <c r="AD256" s="2"/>
      <c r="AE256" s="2"/>
      <c r="AF256" s="2"/>
      <c r="AG256" s="2"/>
      <c r="AH256" s="2"/>
      <c r="AI256" s="2"/>
      <c r="AJ256" s="2"/>
      <c r="AK256" s="2"/>
      <c r="AL256" s="54"/>
      <c r="AM256" s="54"/>
      <c r="AN256" s="54"/>
      <c r="AO256" s="54"/>
    </row>
    <row r="257" customFormat="false" ht="11.25" hidden="false" customHeight="true" outlineLevel="0" collapsed="false">
      <c r="A257" s="83"/>
      <c r="B257" s="84"/>
      <c r="C257" s="85"/>
      <c r="D257" s="93"/>
      <c r="E257" s="85"/>
      <c r="F257" s="88"/>
      <c r="G257" s="89"/>
      <c r="H257" s="89"/>
      <c r="I257" s="89"/>
      <c r="J257" s="89"/>
      <c r="K257" s="90"/>
      <c r="L257" s="91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92"/>
      <c r="AD257" s="2"/>
      <c r="AE257" s="2"/>
      <c r="AF257" s="2"/>
      <c r="AG257" s="2"/>
      <c r="AH257" s="2"/>
      <c r="AI257" s="2"/>
      <c r="AJ257" s="2"/>
      <c r="AK257" s="2"/>
      <c r="AL257" s="54"/>
      <c r="AM257" s="54"/>
      <c r="AN257" s="54"/>
      <c r="AO257" s="54"/>
    </row>
    <row r="258" customFormat="false" ht="11.25" hidden="false" customHeight="true" outlineLevel="0" collapsed="false">
      <c r="A258" s="83"/>
      <c r="B258" s="84"/>
      <c r="C258" s="85"/>
      <c r="D258" s="93"/>
      <c r="E258" s="85"/>
      <c r="F258" s="88"/>
      <c r="G258" s="89"/>
      <c r="H258" s="89"/>
      <c r="I258" s="89"/>
      <c r="J258" s="89"/>
      <c r="K258" s="90"/>
      <c r="L258" s="91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92"/>
      <c r="AD258" s="2"/>
      <c r="AE258" s="2"/>
      <c r="AF258" s="2"/>
      <c r="AG258" s="2"/>
      <c r="AH258" s="2"/>
      <c r="AI258" s="2"/>
      <c r="AJ258" s="2"/>
      <c r="AK258" s="2"/>
      <c r="AL258" s="54"/>
      <c r="AM258" s="54"/>
      <c r="AN258" s="54"/>
      <c r="AO258" s="54"/>
    </row>
    <row r="259" customFormat="false" ht="11.25" hidden="false" customHeight="true" outlineLevel="0" collapsed="false">
      <c r="A259" s="83"/>
      <c r="B259" s="84"/>
      <c r="C259" s="85"/>
      <c r="D259" s="93"/>
      <c r="E259" s="85"/>
      <c r="F259" s="88"/>
      <c r="G259" s="89"/>
      <c r="H259" s="89"/>
      <c r="I259" s="89"/>
      <c r="J259" s="89"/>
      <c r="K259" s="90"/>
      <c r="L259" s="91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92"/>
      <c r="AD259" s="2"/>
      <c r="AE259" s="2"/>
      <c r="AF259" s="2"/>
      <c r="AG259" s="2"/>
      <c r="AH259" s="2"/>
      <c r="AI259" s="2"/>
      <c r="AJ259" s="2"/>
      <c r="AK259" s="2"/>
      <c r="AL259" s="54"/>
      <c r="AM259" s="54"/>
      <c r="AN259" s="54"/>
      <c r="AO259" s="54"/>
    </row>
    <row r="260" customFormat="false" ht="11.25" hidden="false" customHeight="true" outlineLevel="0" collapsed="false">
      <c r="A260" s="83"/>
      <c r="B260" s="84"/>
      <c r="C260" s="85"/>
      <c r="D260" s="93"/>
      <c r="E260" s="85"/>
      <c r="F260" s="88"/>
      <c r="G260" s="89"/>
      <c r="H260" s="89"/>
      <c r="I260" s="89"/>
      <c r="J260" s="89"/>
      <c r="K260" s="90"/>
      <c r="L260" s="91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92"/>
      <c r="AD260" s="2"/>
      <c r="AE260" s="2"/>
      <c r="AF260" s="2"/>
      <c r="AG260" s="2"/>
      <c r="AH260" s="2"/>
      <c r="AI260" s="2"/>
      <c r="AJ260" s="2"/>
      <c r="AK260" s="2"/>
      <c r="AL260" s="54"/>
      <c r="AM260" s="54"/>
      <c r="AN260" s="54"/>
      <c r="AO260" s="54"/>
    </row>
    <row r="261" customFormat="false" ht="11.25" hidden="false" customHeight="true" outlineLevel="0" collapsed="false">
      <c r="A261" s="83"/>
      <c r="B261" s="84"/>
      <c r="C261" s="85"/>
      <c r="D261" s="93"/>
      <c r="E261" s="85"/>
      <c r="F261" s="88"/>
      <c r="G261" s="89"/>
      <c r="H261" s="89"/>
      <c r="I261" s="89"/>
      <c r="J261" s="89"/>
      <c r="K261" s="90"/>
      <c r="L261" s="91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92"/>
      <c r="AD261" s="2"/>
      <c r="AE261" s="2"/>
      <c r="AF261" s="2"/>
      <c r="AG261" s="2"/>
      <c r="AH261" s="2"/>
      <c r="AI261" s="2"/>
      <c r="AJ261" s="2"/>
      <c r="AK261" s="2"/>
      <c r="AL261" s="54"/>
      <c r="AM261" s="54"/>
      <c r="AN261" s="54"/>
      <c r="AO261" s="54"/>
    </row>
    <row r="262" customFormat="false" ht="11.25" hidden="false" customHeight="true" outlineLevel="0" collapsed="false">
      <c r="A262" s="83"/>
      <c r="B262" s="84"/>
      <c r="C262" s="85"/>
      <c r="D262" s="93"/>
      <c r="E262" s="85"/>
      <c r="F262" s="88"/>
      <c r="G262" s="89"/>
      <c r="H262" s="89"/>
      <c r="I262" s="89"/>
      <c r="J262" s="89"/>
      <c r="K262" s="90"/>
      <c r="L262" s="91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92"/>
      <c r="AD262" s="2"/>
      <c r="AE262" s="2"/>
      <c r="AF262" s="2"/>
      <c r="AG262" s="2"/>
      <c r="AH262" s="2"/>
      <c r="AI262" s="2"/>
      <c r="AJ262" s="2"/>
      <c r="AK262" s="2"/>
      <c r="AL262" s="54"/>
      <c r="AM262" s="54"/>
      <c r="AN262" s="54"/>
      <c r="AO262" s="54"/>
    </row>
    <row r="263" customFormat="false" ht="11.25" hidden="false" customHeight="true" outlineLevel="0" collapsed="false">
      <c r="A263" s="83"/>
      <c r="B263" s="84"/>
      <c r="C263" s="85"/>
      <c r="D263" s="93"/>
      <c r="E263" s="85"/>
      <c r="F263" s="88"/>
      <c r="G263" s="89"/>
      <c r="H263" s="89"/>
      <c r="I263" s="89"/>
      <c r="J263" s="89"/>
      <c r="K263" s="90"/>
      <c r="L263" s="91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92"/>
      <c r="AD263" s="2"/>
      <c r="AE263" s="2"/>
      <c r="AF263" s="2"/>
      <c r="AG263" s="2"/>
      <c r="AH263" s="2"/>
      <c r="AI263" s="2"/>
      <c r="AJ263" s="2"/>
      <c r="AK263" s="2"/>
      <c r="AL263" s="54"/>
      <c r="AM263" s="54"/>
      <c r="AN263" s="54"/>
      <c r="AO263" s="54"/>
    </row>
    <row r="264" customFormat="false" ht="11.25" hidden="false" customHeight="true" outlineLevel="0" collapsed="false">
      <c r="A264" s="83"/>
      <c r="B264" s="84"/>
      <c r="C264" s="85"/>
      <c r="D264" s="93"/>
      <c r="E264" s="85"/>
      <c r="F264" s="88"/>
      <c r="G264" s="89"/>
      <c r="H264" s="89"/>
      <c r="I264" s="89"/>
      <c r="J264" s="89"/>
      <c r="K264" s="90"/>
      <c r="L264" s="91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92"/>
      <c r="AD264" s="2"/>
      <c r="AE264" s="2"/>
      <c r="AF264" s="2"/>
      <c r="AG264" s="2"/>
      <c r="AH264" s="2"/>
      <c r="AI264" s="2"/>
      <c r="AJ264" s="2"/>
      <c r="AK264" s="2"/>
      <c r="AL264" s="54"/>
      <c r="AM264" s="54"/>
      <c r="AN264" s="54"/>
      <c r="AO264" s="54"/>
    </row>
    <row r="265" customFormat="false" ht="11.25" hidden="false" customHeight="true" outlineLevel="0" collapsed="false">
      <c r="A265" s="83"/>
      <c r="B265" s="84"/>
      <c r="C265" s="85"/>
      <c r="D265" s="93"/>
      <c r="E265" s="85"/>
      <c r="F265" s="88"/>
      <c r="G265" s="89"/>
      <c r="H265" s="89"/>
      <c r="I265" s="89"/>
      <c r="J265" s="89"/>
      <c r="K265" s="90"/>
      <c r="L265" s="91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92"/>
      <c r="AD265" s="2"/>
      <c r="AE265" s="2"/>
      <c r="AF265" s="2"/>
      <c r="AG265" s="2"/>
      <c r="AH265" s="2"/>
      <c r="AI265" s="2"/>
      <c r="AJ265" s="2"/>
      <c r="AK265" s="2"/>
      <c r="AL265" s="54"/>
      <c r="AM265" s="54"/>
      <c r="AN265" s="54"/>
      <c r="AO265" s="54"/>
    </row>
    <row r="266" customFormat="false" ht="11.25" hidden="false" customHeight="true" outlineLevel="0" collapsed="false">
      <c r="A266" s="83"/>
      <c r="B266" s="84"/>
      <c r="C266" s="85"/>
      <c r="D266" s="93"/>
      <c r="E266" s="85"/>
      <c r="F266" s="88"/>
      <c r="G266" s="89"/>
      <c r="H266" s="89"/>
      <c r="I266" s="89"/>
      <c r="J266" s="89"/>
      <c r="K266" s="90"/>
      <c r="L266" s="91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92"/>
      <c r="AD266" s="2"/>
      <c r="AE266" s="2"/>
      <c r="AF266" s="2"/>
      <c r="AG266" s="2"/>
      <c r="AH266" s="2"/>
      <c r="AI266" s="2"/>
      <c r="AJ266" s="2"/>
      <c r="AK266" s="2"/>
      <c r="AL266" s="54"/>
      <c r="AM266" s="54"/>
      <c r="AN266" s="54"/>
      <c r="AO266" s="54"/>
    </row>
    <row r="267" customFormat="false" ht="11.25" hidden="false" customHeight="true" outlineLevel="0" collapsed="false">
      <c r="A267" s="83"/>
      <c r="B267" s="84"/>
      <c r="C267" s="85"/>
      <c r="D267" s="93"/>
      <c r="E267" s="85"/>
      <c r="F267" s="88"/>
      <c r="G267" s="89"/>
      <c r="H267" s="89"/>
      <c r="I267" s="89"/>
      <c r="J267" s="89"/>
      <c r="K267" s="90"/>
      <c r="L267" s="91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92"/>
      <c r="AD267" s="2"/>
      <c r="AE267" s="2"/>
      <c r="AF267" s="2"/>
      <c r="AG267" s="2"/>
      <c r="AH267" s="2"/>
      <c r="AI267" s="2"/>
      <c r="AJ267" s="2"/>
      <c r="AK267" s="2"/>
      <c r="AL267" s="54"/>
      <c r="AM267" s="54"/>
      <c r="AN267" s="54"/>
      <c r="AO267" s="54"/>
    </row>
    <row r="268" customFormat="false" ht="11.25" hidden="false" customHeight="true" outlineLevel="0" collapsed="false">
      <c r="A268" s="83"/>
      <c r="B268" s="84"/>
      <c r="C268" s="85"/>
      <c r="D268" s="93"/>
      <c r="E268" s="85"/>
      <c r="F268" s="88"/>
      <c r="G268" s="89"/>
      <c r="H268" s="89"/>
      <c r="I268" s="89"/>
      <c r="J268" s="89"/>
      <c r="K268" s="90"/>
      <c r="L268" s="91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92"/>
      <c r="AD268" s="2"/>
      <c r="AE268" s="2"/>
      <c r="AF268" s="2"/>
      <c r="AG268" s="2"/>
      <c r="AH268" s="2"/>
      <c r="AI268" s="2"/>
      <c r="AJ268" s="2"/>
      <c r="AK268" s="2"/>
      <c r="AL268" s="54"/>
      <c r="AM268" s="54"/>
      <c r="AN268" s="54"/>
      <c r="AO268" s="54"/>
    </row>
    <row r="269" customFormat="false" ht="11.25" hidden="false" customHeight="true" outlineLevel="0" collapsed="false">
      <c r="A269" s="83"/>
      <c r="B269" s="84"/>
      <c r="C269" s="85"/>
      <c r="D269" s="93"/>
      <c r="E269" s="85"/>
      <c r="F269" s="88"/>
      <c r="G269" s="89"/>
      <c r="H269" s="89"/>
      <c r="I269" s="89"/>
      <c r="J269" s="89"/>
      <c r="K269" s="90"/>
      <c r="L269" s="91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92"/>
      <c r="AD269" s="2"/>
      <c r="AE269" s="2"/>
      <c r="AF269" s="2"/>
      <c r="AG269" s="2"/>
      <c r="AH269" s="2"/>
      <c r="AI269" s="2"/>
      <c r="AJ269" s="2"/>
      <c r="AK269" s="2"/>
      <c r="AL269" s="54"/>
      <c r="AM269" s="54"/>
      <c r="AN269" s="54"/>
      <c r="AO269" s="54"/>
    </row>
    <row r="270" customFormat="false" ht="11.25" hidden="false" customHeight="true" outlineLevel="0" collapsed="false">
      <c r="A270" s="83"/>
      <c r="B270" s="84"/>
      <c r="C270" s="85"/>
      <c r="D270" s="93"/>
      <c r="E270" s="85"/>
      <c r="F270" s="88"/>
      <c r="G270" s="89"/>
      <c r="H270" s="89"/>
      <c r="I270" s="89"/>
      <c r="J270" s="89"/>
      <c r="K270" s="90"/>
      <c r="L270" s="91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92"/>
      <c r="AD270" s="2"/>
      <c r="AE270" s="2"/>
      <c r="AF270" s="2"/>
      <c r="AG270" s="2"/>
      <c r="AH270" s="2"/>
      <c r="AI270" s="2"/>
      <c r="AJ270" s="2"/>
      <c r="AK270" s="2"/>
      <c r="AL270" s="54"/>
      <c r="AM270" s="54"/>
      <c r="AN270" s="54"/>
      <c r="AO270" s="54"/>
    </row>
    <row r="271" customFormat="false" ht="11.25" hidden="false" customHeight="true" outlineLevel="0" collapsed="false">
      <c r="A271" s="83"/>
      <c r="B271" s="84"/>
      <c r="C271" s="85"/>
      <c r="D271" s="93"/>
      <c r="E271" s="85"/>
      <c r="F271" s="88"/>
      <c r="G271" s="89"/>
      <c r="H271" s="89"/>
      <c r="I271" s="89"/>
      <c r="J271" s="89"/>
      <c r="K271" s="90"/>
      <c r="L271" s="91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92"/>
      <c r="AD271" s="2"/>
      <c r="AE271" s="2"/>
      <c r="AF271" s="2"/>
      <c r="AG271" s="2"/>
      <c r="AH271" s="2"/>
      <c r="AI271" s="2"/>
      <c r="AJ271" s="2"/>
      <c r="AK271" s="2"/>
      <c r="AL271" s="54"/>
      <c r="AM271" s="54"/>
      <c r="AN271" s="54"/>
      <c r="AO271" s="54"/>
    </row>
    <row r="272" customFormat="false" ht="11.25" hidden="false" customHeight="true" outlineLevel="0" collapsed="false">
      <c r="A272" s="83"/>
      <c r="B272" s="84"/>
      <c r="C272" s="85"/>
      <c r="D272" s="93"/>
      <c r="E272" s="85"/>
      <c r="F272" s="88"/>
      <c r="G272" s="89"/>
      <c r="H272" s="89"/>
      <c r="I272" s="89"/>
      <c r="J272" s="89"/>
      <c r="K272" s="90"/>
      <c r="L272" s="91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92"/>
      <c r="AD272" s="2"/>
      <c r="AE272" s="2"/>
      <c r="AF272" s="2"/>
      <c r="AG272" s="2"/>
      <c r="AH272" s="2"/>
      <c r="AI272" s="2"/>
      <c r="AJ272" s="2"/>
      <c r="AK272" s="2"/>
      <c r="AL272" s="54"/>
      <c r="AM272" s="54"/>
      <c r="AN272" s="54"/>
      <c r="AO272" s="54"/>
    </row>
    <row r="273" customFormat="false" ht="11.25" hidden="false" customHeight="true" outlineLevel="0" collapsed="false">
      <c r="A273" s="83"/>
      <c r="B273" s="84"/>
      <c r="C273" s="85"/>
      <c r="D273" s="93"/>
      <c r="E273" s="85"/>
      <c r="F273" s="88"/>
      <c r="G273" s="89"/>
      <c r="H273" s="89"/>
      <c r="I273" s="89"/>
      <c r="J273" s="89"/>
      <c r="K273" s="90"/>
      <c r="L273" s="91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92"/>
      <c r="AD273" s="2"/>
      <c r="AE273" s="2"/>
      <c r="AF273" s="2"/>
      <c r="AG273" s="2"/>
      <c r="AH273" s="2"/>
      <c r="AI273" s="2"/>
      <c r="AJ273" s="2"/>
      <c r="AK273" s="2"/>
      <c r="AL273" s="54"/>
      <c r="AM273" s="54"/>
      <c r="AN273" s="54"/>
      <c r="AO273" s="54"/>
    </row>
    <row r="274" customFormat="false" ht="11.25" hidden="false" customHeight="true" outlineLevel="0" collapsed="false">
      <c r="A274" s="83"/>
      <c r="B274" s="84"/>
      <c r="C274" s="85"/>
      <c r="D274" s="93"/>
      <c r="E274" s="85"/>
      <c r="F274" s="88"/>
      <c r="G274" s="89"/>
      <c r="H274" s="89"/>
      <c r="I274" s="89"/>
      <c r="J274" s="89"/>
      <c r="K274" s="90"/>
      <c r="L274" s="91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92"/>
      <c r="AD274" s="2"/>
      <c r="AE274" s="2"/>
      <c r="AF274" s="2"/>
      <c r="AG274" s="2"/>
      <c r="AH274" s="2"/>
      <c r="AI274" s="2"/>
      <c r="AJ274" s="2"/>
      <c r="AK274" s="2"/>
      <c r="AL274" s="54"/>
      <c r="AM274" s="54"/>
      <c r="AN274" s="54"/>
      <c r="AO274" s="54"/>
    </row>
    <row r="275" customFormat="false" ht="11.25" hidden="false" customHeight="true" outlineLevel="0" collapsed="false">
      <c r="A275" s="83"/>
      <c r="B275" s="84"/>
      <c r="C275" s="85"/>
      <c r="D275" s="93"/>
      <c r="E275" s="85"/>
      <c r="F275" s="88"/>
      <c r="G275" s="89"/>
      <c r="H275" s="89"/>
      <c r="I275" s="89"/>
      <c r="J275" s="89"/>
      <c r="K275" s="90"/>
      <c r="L275" s="91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92"/>
      <c r="AD275" s="2"/>
      <c r="AE275" s="2"/>
      <c r="AF275" s="2"/>
      <c r="AG275" s="2"/>
      <c r="AH275" s="2"/>
      <c r="AI275" s="2"/>
      <c r="AJ275" s="2"/>
      <c r="AK275" s="2"/>
      <c r="AL275" s="54"/>
      <c r="AM275" s="54"/>
      <c r="AN275" s="54"/>
      <c r="AO275" s="54"/>
    </row>
    <row r="276" customFormat="false" ht="11.25" hidden="false" customHeight="true" outlineLevel="0" collapsed="false">
      <c r="A276" s="83"/>
      <c r="B276" s="84"/>
      <c r="C276" s="85"/>
      <c r="D276" s="93"/>
      <c r="E276" s="85"/>
      <c r="F276" s="88"/>
      <c r="G276" s="89"/>
      <c r="H276" s="89"/>
      <c r="I276" s="89"/>
      <c r="J276" s="89"/>
      <c r="K276" s="90"/>
      <c r="L276" s="91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92"/>
      <c r="AD276" s="2"/>
      <c r="AE276" s="2"/>
      <c r="AF276" s="2"/>
      <c r="AG276" s="2"/>
      <c r="AH276" s="2"/>
      <c r="AI276" s="2"/>
      <c r="AJ276" s="2"/>
      <c r="AK276" s="2"/>
      <c r="AL276" s="54"/>
      <c r="AM276" s="54"/>
      <c r="AN276" s="54"/>
      <c r="AO276" s="54"/>
    </row>
    <row r="277" customFormat="false" ht="11.25" hidden="false" customHeight="true" outlineLevel="0" collapsed="false">
      <c r="A277" s="83"/>
      <c r="B277" s="84"/>
      <c r="C277" s="85"/>
      <c r="D277" s="93"/>
      <c r="E277" s="85"/>
      <c r="F277" s="88"/>
      <c r="G277" s="89"/>
      <c r="H277" s="89"/>
      <c r="I277" s="89"/>
      <c r="J277" s="89"/>
      <c r="K277" s="90"/>
      <c r="L277" s="91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92"/>
      <c r="AD277" s="2"/>
      <c r="AE277" s="2"/>
      <c r="AF277" s="2"/>
      <c r="AG277" s="2"/>
      <c r="AH277" s="2"/>
      <c r="AI277" s="2"/>
      <c r="AJ277" s="2"/>
      <c r="AK277" s="2"/>
      <c r="AL277" s="54"/>
      <c r="AM277" s="54"/>
      <c r="AN277" s="54"/>
      <c r="AO277" s="54"/>
    </row>
    <row r="278" customFormat="false" ht="11.25" hidden="false" customHeight="true" outlineLevel="0" collapsed="false">
      <c r="A278" s="83"/>
      <c r="B278" s="84"/>
      <c r="C278" s="85"/>
      <c r="D278" s="93"/>
      <c r="E278" s="85"/>
      <c r="F278" s="88"/>
      <c r="G278" s="89"/>
      <c r="H278" s="89"/>
      <c r="I278" s="89"/>
      <c r="J278" s="89"/>
      <c r="K278" s="90"/>
      <c r="L278" s="91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92"/>
      <c r="AD278" s="2"/>
      <c r="AE278" s="2"/>
      <c r="AF278" s="2"/>
      <c r="AG278" s="2"/>
      <c r="AH278" s="2"/>
      <c r="AI278" s="2"/>
      <c r="AJ278" s="2"/>
      <c r="AK278" s="2"/>
      <c r="AL278" s="54"/>
      <c r="AM278" s="54"/>
      <c r="AN278" s="54"/>
      <c r="AO278" s="54"/>
    </row>
    <row r="279" customFormat="false" ht="11.25" hidden="false" customHeight="true" outlineLevel="0" collapsed="false">
      <c r="A279" s="83"/>
      <c r="B279" s="84"/>
      <c r="C279" s="85"/>
      <c r="D279" s="93"/>
      <c r="E279" s="85"/>
      <c r="F279" s="88"/>
      <c r="G279" s="89"/>
      <c r="H279" s="89"/>
      <c r="I279" s="89"/>
      <c r="J279" s="89"/>
      <c r="K279" s="90"/>
      <c r="L279" s="91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92"/>
      <c r="AD279" s="2"/>
      <c r="AE279" s="2"/>
      <c r="AF279" s="2"/>
      <c r="AG279" s="2"/>
      <c r="AH279" s="2"/>
      <c r="AI279" s="2"/>
      <c r="AJ279" s="2"/>
      <c r="AK279" s="2"/>
      <c r="AL279" s="54"/>
      <c r="AM279" s="54"/>
      <c r="AN279" s="54"/>
      <c r="AO279" s="54"/>
    </row>
    <row r="280" customFormat="false" ht="11.25" hidden="false" customHeight="true" outlineLevel="0" collapsed="false">
      <c r="A280" s="83"/>
      <c r="B280" s="84"/>
      <c r="C280" s="85"/>
      <c r="D280" s="93"/>
      <c r="E280" s="85"/>
      <c r="F280" s="88"/>
      <c r="G280" s="89"/>
      <c r="H280" s="89"/>
      <c r="I280" s="89"/>
      <c r="J280" s="89"/>
      <c r="K280" s="90"/>
      <c r="L280" s="91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92"/>
      <c r="AD280" s="2"/>
      <c r="AE280" s="2"/>
      <c r="AF280" s="2"/>
      <c r="AG280" s="2"/>
      <c r="AH280" s="2"/>
      <c r="AI280" s="2"/>
      <c r="AJ280" s="2"/>
      <c r="AK280" s="2"/>
      <c r="AL280" s="54"/>
      <c r="AM280" s="54"/>
      <c r="AN280" s="54"/>
      <c r="AO280" s="54"/>
    </row>
    <row r="281" customFormat="false" ht="11.25" hidden="false" customHeight="true" outlineLevel="0" collapsed="false">
      <c r="A281" s="83"/>
      <c r="B281" s="84"/>
      <c r="C281" s="85"/>
      <c r="D281" s="93"/>
      <c r="E281" s="85"/>
      <c r="F281" s="88"/>
      <c r="G281" s="89"/>
      <c r="H281" s="89"/>
      <c r="I281" s="89"/>
      <c r="J281" s="89"/>
      <c r="K281" s="90"/>
      <c r="L281" s="91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92"/>
      <c r="AD281" s="2"/>
      <c r="AE281" s="2"/>
      <c r="AF281" s="2"/>
      <c r="AG281" s="2"/>
      <c r="AH281" s="2"/>
      <c r="AI281" s="2"/>
      <c r="AJ281" s="2"/>
      <c r="AK281" s="2"/>
      <c r="AL281" s="54"/>
      <c r="AM281" s="54"/>
      <c r="AN281" s="54"/>
      <c r="AO281" s="54"/>
    </row>
    <row r="282" customFormat="false" ht="11.25" hidden="false" customHeight="true" outlineLevel="0" collapsed="false">
      <c r="A282" s="83"/>
      <c r="B282" s="84"/>
      <c r="C282" s="85"/>
      <c r="D282" s="93"/>
      <c r="E282" s="85"/>
      <c r="F282" s="88"/>
      <c r="G282" s="89"/>
      <c r="H282" s="89"/>
      <c r="I282" s="89"/>
      <c r="J282" s="89"/>
      <c r="K282" s="90"/>
      <c r="L282" s="91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92"/>
      <c r="AD282" s="2"/>
      <c r="AE282" s="2"/>
      <c r="AF282" s="2"/>
      <c r="AG282" s="2"/>
      <c r="AH282" s="2"/>
      <c r="AI282" s="2"/>
      <c r="AJ282" s="2"/>
      <c r="AK282" s="2"/>
      <c r="AL282" s="54"/>
      <c r="AM282" s="54"/>
      <c r="AN282" s="54"/>
      <c r="AO282" s="54"/>
    </row>
    <row r="283" customFormat="false" ht="11.25" hidden="false" customHeight="true" outlineLevel="0" collapsed="false">
      <c r="A283" s="83"/>
      <c r="B283" s="84"/>
      <c r="C283" s="85"/>
      <c r="D283" s="93"/>
      <c r="E283" s="85"/>
      <c r="F283" s="88"/>
      <c r="G283" s="89"/>
      <c r="H283" s="89"/>
      <c r="I283" s="89"/>
      <c r="J283" s="89"/>
      <c r="K283" s="90"/>
      <c r="L283" s="91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92"/>
      <c r="AD283" s="2"/>
      <c r="AE283" s="2"/>
      <c r="AF283" s="2"/>
      <c r="AG283" s="2"/>
      <c r="AH283" s="2"/>
      <c r="AI283" s="2"/>
      <c r="AJ283" s="2"/>
      <c r="AK283" s="2"/>
      <c r="AL283" s="54"/>
      <c r="AM283" s="54"/>
      <c r="AN283" s="54"/>
      <c r="AO283" s="54"/>
    </row>
    <row r="284" customFormat="false" ht="11.25" hidden="false" customHeight="true" outlineLevel="0" collapsed="false">
      <c r="A284" s="83"/>
      <c r="B284" s="84"/>
      <c r="C284" s="85"/>
      <c r="D284" s="93"/>
      <c r="E284" s="85"/>
      <c r="F284" s="88"/>
      <c r="G284" s="89"/>
      <c r="H284" s="89"/>
      <c r="I284" s="89"/>
      <c r="J284" s="89"/>
      <c r="K284" s="90"/>
      <c r="L284" s="91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92"/>
      <c r="AD284" s="2"/>
      <c r="AE284" s="2"/>
      <c r="AF284" s="2"/>
      <c r="AG284" s="2"/>
      <c r="AH284" s="2"/>
      <c r="AI284" s="2"/>
      <c r="AJ284" s="2"/>
      <c r="AK284" s="2"/>
      <c r="AL284" s="54"/>
      <c r="AM284" s="54"/>
      <c r="AN284" s="54"/>
      <c r="AO284" s="54"/>
    </row>
    <row r="285" customFormat="false" ht="11.25" hidden="false" customHeight="true" outlineLevel="0" collapsed="false">
      <c r="A285" s="83"/>
      <c r="B285" s="84"/>
      <c r="C285" s="85"/>
      <c r="D285" s="93"/>
      <c r="E285" s="85"/>
      <c r="F285" s="88"/>
      <c r="G285" s="89"/>
      <c r="H285" s="89"/>
      <c r="I285" s="89"/>
      <c r="J285" s="89"/>
      <c r="K285" s="90"/>
      <c r="L285" s="91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92"/>
      <c r="AD285" s="2"/>
      <c r="AE285" s="2"/>
      <c r="AF285" s="2"/>
      <c r="AG285" s="2"/>
      <c r="AH285" s="2"/>
      <c r="AI285" s="2"/>
      <c r="AJ285" s="2"/>
      <c r="AK285" s="2"/>
      <c r="AL285" s="54"/>
      <c r="AM285" s="54"/>
      <c r="AN285" s="54"/>
      <c r="AO285" s="54"/>
    </row>
    <row r="286" customFormat="false" ht="11.25" hidden="false" customHeight="true" outlineLevel="0" collapsed="false">
      <c r="A286" s="83"/>
      <c r="B286" s="84"/>
      <c r="C286" s="85"/>
      <c r="D286" s="93"/>
      <c r="E286" s="85"/>
      <c r="F286" s="88"/>
      <c r="G286" s="89"/>
      <c r="H286" s="89"/>
      <c r="I286" s="89"/>
      <c r="J286" s="89"/>
      <c r="K286" s="90"/>
      <c r="L286" s="91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92"/>
      <c r="AD286" s="2"/>
      <c r="AE286" s="2"/>
      <c r="AF286" s="2"/>
      <c r="AG286" s="2"/>
      <c r="AH286" s="2"/>
      <c r="AI286" s="2"/>
      <c r="AJ286" s="2"/>
      <c r="AK286" s="2"/>
      <c r="AL286" s="54"/>
      <c r="AM286" s="54"/>
      <c r="AN286" s="54"/>
      <c r="AO286" s="54"/>
    </row>
    <row r="287" customFormat="false" ht="11.25" hidden="false" customHeight="true" outlineLevel="0" collapsed="false">
      <c r="A287" s="83"/>
      <c r="B287" s="84"/>
      <c r="C287" s="85"/>
      <c r="D287" s="93"/>
      <c r="E287" s="85"/>
      <c r="F287" s="88"/>
      <c r="G287" s="89"/>
      <c r="H287" s="89"/>
      <c r="I287" s="89"/>
      <c r="J287" s="89"/>
      <c r="K287" s="90"/>
      <c r="L287" s="91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92"/>
      <c r="AD287" s="2"/>
      <c r="AE287" s="2"/>
      <c r="AF287" s="2"/>
      <c r="AG287" s="2"/>
      <c r="AH287" s="2"/>
      <c r="AI287" s="2"/>
      <c r="AJ287" s="2"/>
      <c r="AK287" s="2"/>
      <c r="AL287" s="54"/>
      <c r="AM287" s="54"/>
      <c r="AN287" s="54"/>
      <c r="AO287" s="54"/>
    </row>
    <row r="288" customFormat="false" ht="11.25" hidden="false" customHeight="true" outlineLevel="0" collapsed="false">
      <c r="A288" s="83"/>
      <c r="B288" s="84"/>
      <c r="C288" s="85"/>
      <c r="D288" s="93"/>
      <c r="E288" s="85"/>
      <c r="F288" s="88"/>
      <c r="G288" s="89"/>
      <c r="H288" s="89"/>
      <c r="I288" s="89"/>
      <c r="J288" s="89"/>
      <c r="K288" s="90"/>
      <c r="L288" s="91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92"/>
      <c r="AD288" s="2"/>
      <c r="AE288" s="2"/>
      <c r="AF288" s="2"/>
      <c r="AG288" s="2"/>
      <c r="AH288" s="2"/>
      <c r="AI288" s="2"/>
      <c r="AJ288" s="2"/>
      <c r="AK288" s="2"/>
      <c r="AL288" s="54"/>
      <c r="AM288" s="54"/>
      <c r="AN288" s="54"/>
      <c r="AO288" s="54"/>
    </row>
    <row r="289" customFormat="false" ht="11.25" hidden="false" customHeight="true" outlineLevel="0" collapsed="false">
      <c r="A289" s="83"/>
      <c r="B289" s="84"/>
      <c r="C289" s="85"/>
      <c r="D289" s="93"/>
      <c r="E289" s="85"/>
      <c r="F289" s="88"/>
      <c r="G289" s="89"/>
      <c r="H289" s="89"/>
      <c r="I289" s="89"/>
      <c r="J289" s="89"/>
      <c r="K289" s="90"/>
      <c r="L289" s="91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92"/>
      <c r="AD289" s="2"/>
      <c r="AE289" s="2"/>
      <c r="AF289" s="2"/>
      <c r="AG289" s="2"/>
      <c r="AH289" s="2"/>
      <c r="AI289" s="2"/>
      <c r="AJ289" s="2"/>
      <c r="AK289" s="2"/>
      <c r="AL289" s="54"/>
      <c r="AM289" s="54"/>
      <c r="AN289" s="54"/>
      <c r="AO289" s="54"/>
    </row>
    <row r="290" customFormat="false" ht="11.25" hidden="false" customHeight="true" outlineLevel="0" collapsed="false">
      <c r="A290" s="83"/>
      <c r="B290" s="84"/>
      <c r="C290" s="85"/>
      <c r="D290" s="93"/>
      <c r="E290" s="85"/>
      <c r="F290" s="88"/>
      <c r="G290" s="89"/>
      <c r="H290" s="89"/>
      <c r="I290" s="89"/>
      <c r="J290" s="89"/>
      <c r="K290" s="90"/>
      <c r="L290" s="91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92"/>
      <c r="AD290" s="2"/>
      <c r="AE290" s="2"/>
      <c r="AF290" s="2"/>
      <c r="AG290" s="2"/>
      <c r="AH290" s="2"/>
      <c r="AI290" s="2"/>
      <c r="AJ290" s="2"/>
      <c r="AK290" s="2"/>
      <c r="AL290" s="54"/>
      <c r="AM290" s="54"/>
      <c r="AN290" s="54"/>
      <c r="AO290" s="54"/>
    </row>
    <row r="291" customFormat="false" ht="11.25" hidden="false" customHeight="true" outlineLevel="0" collapsed="false">
      <c r="A291" s="83"/>
      <c r="B291" s="84"/>
      <c r="C291" s="85"/>
      <c r="D291" s="93"/>
      <c r="E291" s="85"/>
      <c r="F291" s="88"/>
      <c r="G291" s="89"/>
      <c r="H291" s="89"/>
      <c r="I291" s="89"/>
      <c r="J291" s="89"/>
      <c r="K291" s="90"/>
      <c r="L291" s="91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92"/>
      <c r="AD291" s="2"/>
      <c r="AE291" s="2"/>
      <c r="AF291" s="2"/>
      <c r="AG291" s="2"/>
      <c r="AH291" s="2"/>
      <c r="AI291" s="2"/>
      <c r="AJ291" s="2"/>
      <c r="AK291" s="2"/>
      <c r="AL291" s="54"/>
      <c r="AM291" s="54"/>
      <c r="AN291" s="54"/>
      <c r="AO291" s="54"/>
    </row>
    <row r="292" customFormat="false" ht="11.25" hidden="false" customHeight="true" outlineLevel="0" collapsed="false">
      <c r="A292" s="83"/>
      <c r="B292" s="84"/>
      <c r="C292" s="85"/>
      <c r="D292" s="93"/>
      <c r="E292" s="85"/>
      <c r="F292" s="88"/>
      <c r="G292" s="89"/>
      <c r="H292" s="89"/>
      <c r="I292" s="89"/>
      <c r="J292" s="89"/>
      <c r="K292" s="90"/>
      <c r="L292" s="91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92"/>
      <c r="AD292" s="2"/>
      <c r="AE292" s="2"/>
      <c r="AF292" s="2"/>
      <c r="AG292" s="2"/>
      <c r="AH292" s="2"/>
      <c r="AI292" s="2"/>
      <c r="AJ292" s="2"/>
      <c r="AK292" s="2"/>
      <c r="AL292" s="54"/>
      <c r="AM292" s="54"/>
      <c r="AN292" s="54"/>
      <c r="AO292" s="54"/>
    </row>
    <row r="293" customFormat="false" ht="11.25" hidden="false" customHeight="true" outlineLevel="0" collapsed="false">
      <c r="A293" s="83"/>
      <c r="B293" s="84"/>
      <c r="C293" s="85"/>
      <c r="D293" s="93"/>
      <c r="E293" s="85"/>
      <c r="F293" s="88"/>
      <c r="G293" s="89"/>
      <c r="H293" s="89"/>
      <c r="I293" s="89"/>
      <c r="J293" s="89"/>
      <c r="K293" s="90"/>
      <c r="L293" s="91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92"/>
      <c r="AD293" s="2"/>
      <c r="AE293" s="2"/>
      <c r="AF293" s="2"/>
      <c r="AG293" s="2"/>
      <c r="AH293" s="2"/>
      <c r="AI293" s="2"/>
      <c r="AJ293" s="2"/>
      <c r="AK293" s="2"/>
      <c r="AL293" s="54"/>
      <c r="AM293" s="54"/>
      <c r="AN293" s="54"/>
      <c r="AO293" s="54"/>
    </row>
    <row r="294" customFormat="false" ht="11.25" hidden="false" customHeight="true" outlineLevel="0" collapsed="false">
      <c r="A294" s="83"/>
      <c r="B294" s="84"/>
      <c r="C294" s="85"/>
      <c r="D294" s="93"/>
      <c r="E294" s="85"/>
      <c r="F294" s="88"/>
      <c r="G294" s="89"/>
      <c r="H294" s="89"/>
      <c r="I294" s="89"/>
      <c r="J294" s="89"/>
      <c r="K294" s="90"/>
      <c r="L294" s="91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92"/>
      <c r="AD294" s="2"/>
      <c r="AE294" s="2"/>
      <c r="AF294" s="2"/>
      <c r="AG294" s="2"/>
      <c r="AH294" s="2"/>
      <c r="AI294" s="2"/>
      <c r="AJ294" s="2"/>
      <c r="AK294" s="2"/>
      <c r="AL294" s="54"/>
      <c r="AM294" s="54"/>
      <c r="AN294" s="54"/>
      <c r="AO294" s="54"/>
    </row>
    <row r="295" customFormat="false" ht="11.25" hidden="false" customHeight="true" outlineLevel="0" collapsed="false">
      <c r="A295" s="83"/>
      <c r="B295" s="84"/>
      <c r="C295" s="85"/>
      <c r="D295" s="93"/>
      <c r="E295" s="85"/>
      <c r="F295" s="88"/>
      <c r="G295" s="89"/>
      <c r="H295" s="89"/>
      <c r="I295" s="89"/>
      <c r="J295" s="89"/>
      <c r="K295" s="90"/>
      <c r="L295" s="91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92"/>
      <c r="AD295" s="2"/>
      <c r="AE295" s="2"/>
      <c r="AF295" s="2"/>
      <c r="AG295" s="2"/>
      <c r="AH295" s="2"/>
      <c r="AI295" s="2"/>
      <c r="AJ295" s="2"/>
      <c r="AK295" s="2"/>
      <c r="AL295" s="54"/>
      <c r="AM295" s="54"/>
      <c r="AN295" s="54"/>
      <c r="AO295" s="54"/>
    </row>
    <row r="296" customFormat="false" ht="11.25" hidden="false" customHeight="true" outlineLevel="0" collapsed="false">
      <c r="A296" s="83"/>
      <c r="B296" s="84"/>
      <c r="C296" s="85"/>
      <c r="D296" s="93"/>
      <c r="E296" s="85"/>
      <c r="F296" s="88"/>
      <c r="G296" s="89"/>
      <c r="H296" s="89"/>
      <c r="I296" s="89"/>
      <c r="J296" s="89"/>
      <c r="K296" s="90"/>
      <c r="L296" s="91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92"/>
      <c r="AD296" s="2"/>
      <c r="AE296" s="2"/>
      <c r="AF296" s="2"/>
      <c r="AG296" s="2"/>
      <c r="AH296" s="2"/>
      <c r="AI296" s="2"/>
      <c r="AJ296" s="2"/>
      <c r="AK296" s="2"/>
      <c r="AL296" s="54"/>
      <c r="AM296" s="54"/>
      <c r="AN296" s="54"/>
      <c r="AO296" s="54"/>
    </row>
    <row r="297" customFormat="false" ht="11.25" hidden="false" customHeight="true" outlineLevel="0" collapsed="false">
      <c r="A297" s="83"/>
      <c r="B297" s="84"/>
      <c r="C297" s="85"/>
      <c r="D297" s="93"/>
      <c r="E297" s="85"/>
      <c r="F297" s="88"/>
      <c r="G297" s="89"/>
      <c r="H297" s="89"/>
      <c r="I297" s="89"/>
      <c r="J297" s="89"/>
      <c r="K297" s="90"/>
      <c r="L297" s="91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92"/>
      <c r="AD297" s="2"/>
      <c r="AE297" s="2"/>
      <c r="AF297" s="2"/>
      <c r="AG297" s="2"/>
      <c r="AH297" s="2"/>
      <c r="AI297" s="2"/>
      <c r="AJ297" s="2"/>
      <c r="AK297" s="2"/>
      <c r="AL297" s="54"/>
      <c r="AM297" s="54"/>
      <c r="AN297" s="54"/>
      <c r="AO297" s="54"/>
    </row>
    <row r="298" customFormat="false" ht="11.25" hidden="false" customHeight="true" outlineLevel="0" collapsed="false">
      <c r="A298" s="83"/>
      <c r="B298" s="84"/>
      <c r="C298" s="85"/>
      <c r="D298" s="93"/>
      <c r="E298" s="85"/>
      <c r="F298" s="88"/>
      <c r="G298" s="89"/>
      <c r="H298" s="89"/>
      <c r="I298" s="89"/>
      <c r="J298" s="89"/>
      <c r="K298" s="90"/>
      <c r="L298" s="91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92"/>
      <c r="AD298" s="2"/>
      <c r="AE298" s="2"/>
      <c r="AF298" s="2"/>
      <c r="AG298" s="2"/>
      <c r="AH298" s="2"/>
      <c r="AI298" s="2"/>
      <c r="AJ298" s="2"/>
      <c r="AK298" s="2"/>
      <c r="AL298" s="54"/>
      <c r="AM298" s="54"/>
      <c r="AN298" s="54"/>
      <c r="AO298" s="54"/>
    </row>
    <row r="299" customFormat="false" ht="11.25" hidden="false" customHeight="true" outlineLevel="0" collapsed="false">
      <c r="A299" s="83"/>
      <c r="B299" s="84"/>
      <c r="C299" s="85"/>
      <c r="D299" s="93"/>
      <c r="E299" s="85"/>
      <c r="F299" s="88"/>
      <c r="G299" s="89"/>
      <c r="H299" s="89"/>
      <c r="I299" s="89"/>
      <c r="J299" s="89"/>
      <c r="K299" s="90"/>
      <c r="L299" s="91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92"/>
      <c r="AD299" s="2"/>
      <c r="AE299" s="2"/>
      <c r="AF299" s="2"/>
      <c r="AG299" s="2"/>
      <c r="AH299" s="2"/>
      <c r="AI299" s="2"/>
      <c r="AJ299" s="2"/>
      <c r="AK299" s="2"/>
      <c r="AL299" s="54"/>
      <c r="AM299" s="54"/>
      <c r="AN299" s="54"/>
      <c r="AO299" s="54"/>
    </row>
    <row r="300" customFormat="false" ht="11.25" hidden="false" customHeight="true" outlineLevel="0" collapsed="false">
      <c r="A300" s="83"/>
      <c r="B300" s="84"/>
      <c r="C300" s="85"/>
      <c r="D300" s="93"/>
      <c r="E300" s="85"/>
      <c r="F300" s="88"/>
      <c r="G300" s="89"/>
      <c r="H300" s="89"/>
      <c r="I300" s="89"/>
      <c r="J300" s="89"/>
      <c r="K300" s="90"/>
      <c r="L300" s="91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92"/>
      <c r="AD300" s="2"/>
      <c r="AE300" s="2"/>
      <c r="AF300" s="2"/>
      <c r="AG300" s="2"/>
      <c r="AH300" s="2"/>
      <c r="AI300" s="2"/>
      <c r="AJ300" s="2"/>
      <c r="AK300" s="2"/>
      <c r="AL300" s="54"/>
      <c r="AM300" s="54"/>
      <c r="AN300" s="54"/>
      <c r="AO300" s="54"/>
    </row>
    <row r="301" customFormat="false" ht="11.25" hidden="false" customHeight="true" outlineLevel="0" collapsed="false">
      <c r="A301" s="83"/>
      <c r="B301" s="84"/>
      <c r="C301" s="85"/>
      <c r="D301" s="93"/>
      <c r="E301" s="85"/>
      <c r="F301" s="88"/>
      <c r="G301" s="89"/>
      <c r="H301" s="89"/>
      <c r="I301" s="89"/>
      <c r="J301" s="89"/>
      <c r="K301" s="90"/>
      <c r="L301" s="91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92"/>
      <c r="AD301" s="2"/>
      <c r="AE301" s="2"/>
      <c r="AF301" s="2"/>
      <c r="AG301" s="2"/>
      <c r="AH301" s="2"/>
      <c r="AI301" s="2"/>
      <c r="AJ301" s="2"/>
      <c r="AK301" s="2"/>
      <c r="AL301" s="54"/>
      <c r="AM301" s="54"/>
      <c r="AN301" s="54"/>
      <c r="AO301" s="54"/>
    </row>
    <row r="302" customFormat="false" ht="11.25" hidden="false" customHeight="true" outlineLevel="0" collapsed="false">
      <c r="A302" s="83"/>
      <c r="B302" s="84"/>
      <c r="C302" s="85"/>
      <c r="D302" s="93"/>
      <c r="E302" s="85"/>
      <c r="F302" s="88"/>
      <c r="G302" s="89"/>
      <c r="H302" s="89"/>
      <c r="I302" s="89"/>
      <c r="J302" s="89"/>
      <c r="K302" s="90"/>
      <c r="L302" s="91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92"/>
      <c r="AD302" s="2"/>
      <c r="AE302" s="2"/>
      <c r="AF302" s="2"/>
      <c r="AG302" s="2"/>
      <c r="AH302" s="2"/>
      <c r="AI302" s="2"/>
      <c r="AJ302" s="2"/>
      <c r="AK302" s="2"/>
      <c r="AL302" s="54"/>
      <c r="AM302" s="54"/>
      <c r="AN302" s="54"/>
      <c r="AO302" s="54"/>
    </row>
    <row r="303" customFormat="false" ht="11.25" hidden="false" customHeight="true" outlineLevel="0" collapsed="false">
      <c r="A303" s="83"/>
      <c r="B303" s="84"/>
      <c r="C303" s="85"/>
      <c r="D303" s="93"/>
      <c r="E303" s="85"/>
      <c r="F303" s="88"/>
      <c r="G303" s="89"/>
      <c r="H303" s="89"/>
      <c r="I303" s="89"/>
      <c r="J303" s="89"/>
      <c r="K303" s="90"/>
      <c r="L303" s="91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92"/>
      <c r="AD303" s="2"/>
      <c r="AE303" s="2"/>
      <c r="AF303" s="2"/>
      <c r="AG303" s="2"/>
      <c r="AH303" s="2"/>
      <c r="AI303" s="2"/>
      <c r="AJ303" s="2"/>
      <c r="AK303" s="2"/>
      <c r="AL303" s="54"/>
      <c r="AM303" s="54"/>
      <c r="AN303" s="54"/>
      <c r="AO303" s="54"/>
    </row>
    <row r="304" customFormat="false" ht="11.25" hidden="false" customHeight="true" outlineLevel="0" collapsed="false">
      <c r="A304" s="83"/>
      <c r="B304" s="84"/>
      <c r="C304" s="85"/>
      <c r="D304" s="93"/>
      <c r="E304" s="85"/>
      <c r="F304" s="88"/>
      <c r="G304" s="89"/>
      <c r="H304" s="89"/>
      <c r="I304" s="89"/>
      <c r="J304" s="89"/>
      <c r="K304" s="90"/>
      <c r="L304" s="91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92"/>
      <c r="AD304" s="2"/>
      <c r="AE304" s="2"/>
      <c r="AF304" s="2"/>
      <c r="AG304" s="2"/>
      <c r="AH304" s="2"/>
      <c r="AI304" s="2"/>
      <c r="AJ304" s="2"/>
      <c r="AK304" s="2"/>
      <c r="AL304" s="54"/>
      <c r="AM304" s="54"/>
      <c r="AN304" s="54"/>
      <c r="AO304" s="54"/>
    </row>
    <row r="305" customFormat="false" ht="11.25" hidden="false" customHeight="true" outlineLevel="0" collapsed="false">
      <c r="A305" s="83"/>
      <c r="B305" s="84"/>
      <c r="C305" s="85"/>
      <c r="D305" s="93"/>
      <c r="E305" s="85"/>
      <c r="F305" s="88"/>
      <c r="G305" s="89"/>
      <c r="H305" s="89"/>
      <c r="I305" s="89"/>
      <c r="J305" s="89"/>
      <c r="K305" s="90"/>
      <c r="L305" s="91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92"/>
      <c r="AD305" s="2"/>
      <c r="AE305" s="2"/>
      <c r="AF305" s="2"/>
      <c r="AG305" s="2"/>
      <c r="AH305" s="2"/>
      <c r="AI305" s="2"/>
      <c r="AJ305" s="2"/>
      <c r="AK305" s="2"/>
      <c r="AL305" s="54"/>
      <c r="AM305" s="54"/>
      <c r="AN305" s="54"/>
      <c r="AO305" s="54"/>
    </row>
    <row r="306" customFormat="false" ht="11.25" hidden="false" customHeight="true" outlineLevel="0" collapsed="false">
      <c r="A306" s="83"/>
      <c r="B306" s="84"/>
      <c r="C306" s="85"/>
      <c r="D306" s="93"/>
      <c r="E306" s="85"/>
      <c r="F306" s="88"/>
      <c r="G306" s="89"/>
      <c r="H306" s="89"/>
      <c r="I306" s="89"/>
      <c r="J306" s="89"/>
      <c r="K306" s="90"/>
      <c r="L306" s="91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92"/>
      <c r="AD306" s="2"/>
      <c r="AE306" s="2"/>
      <c r="AF306" s="2"/>
      <c r="AG306" s="2"/>
      <c r="AH306" s="2"/>
      <c r="AI306" s="2"/>
      <c r="AJ306" s="2"/>
      <c r="AK306" s="2"/>
      <c r="AL306" s="54"/>
      <c r="AM306" s="54"/>
      <c r="AN306" s="54"/>
      <c r="AO306" s="54"/>
    </row>
    <row r="307" customFormat="false" ht="11.25" hidden="false" customHeight="true" outlineLevel="0" collapsed="false">
      <c r="A307" s="83"/>
      <c r="B307" s="84"/>
      <c r="C307" s="85"/>
      <c r="D307" s="93"/>
      <c r="E307" s="85"/>
      <c r="F307" s="88"/>
      <c r="G307" s="89"/>
      <c r="H307" s="89"/>
      <c r="I307" s="89"/>
      <c r="J307" s="89"/>
      <c r="K307" s="90"/>
      <c r="L307" s="91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92"/>
      <c r="AD307" s="2"/>
      <c r="AE307" s="2"/>
      <c r="AF307" s="2"/>
      <c r="AG307" s="2"/>
      <c r="AH307" s="2"/>
      <c r="AI307" s="2"/>
      <c r="AJ307" s="2"/>
      <c r="AK307" s="2"/>
      <c r="AL307" s="54"/>
      <c r="AM307" s="54"/>
      <c r="AN307" s="54"/>
      <c r="AO307" s="54"/>
    </row>
    <row r="308" customFormat="false" ht="11.25" hidden="false" customHeight="true" outlineLevel="0" collapsed="false">
      <c r="A308" s="83"/>
      <c r="B308" s="84"/>
      <c r="C308" s="85"/>
      <c r="D308" s="93"/>
      <c r="E308" s="85"/>
      <c r="F308" s="88"/>
      <c r="G308" s="89"/>
      <c r="H308" s="89"/>
      <c r="I308" s="89"/>
      <c r="J308" s="89"/>
      <c r="K308" s="90"/>
      <c r="L308" s="91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92"/>
      <c r="AD308" s="2"/>
      <c r="AE308" s="2"/>
      <c r="AF308" s="2"/>
      <c r="AG308" s="2"/>
      <c r="AH308" s="2"/>
      <c r="AI308" s="2"/>
      <c r="AJ308" s="2"/>
      <c r="AK308" s="2"/>
      <c r="AL308" s="54"/>
      <c r="AM308" s="54"/>
      <c r="AN308" s="54"/>
      <c r="AO308" s="54"/>
    </row>
    <row r="309" customFormat="false" ht="11.25" hidden="false" customHeight="true" outlineLevel="0" collapsed="false">
      <c r="A309" s="83"/>
      <c r="B309" s="84"/>
      <c r="C309" s="85"/>
      <c r="D309" s="93"/>
      <c r="E309" s="85"/>
      <c r="F309" s="88"/>
      <c r="G309" s="89"/>
      <c r="H309" s="89"/>
      <c r="I309" s="89"/>
      <c r="J309" s="89"/>
      <c r="K309" s="90"/>
      <c r="L309" s="91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92"/>
      <c r="AD309" s="2"/>
      <c r="AE309" s="2"/>
      <c r="AF309" s="2"/>
      <c r="AG309" s="2"/>
      <c r="AH309" s="2"/>
      <c r="AI309" s="2"/>
      <c r="AJ309" s="2"/>
      <c r="AK309" s="2"/>
      <c r="AL309" s="54"/>
      <c r="AM309" s="54"/>
      <c r="AN309" s="54"/>
      <c r="AO309" s="54"/>
    </row>
    <row r="310" customFormat="false" ht="11.25" hidden="false" customHeight="true" outlineLevel="0" collapsed="false">
      <c r="A310" s="83"/>
      <c r="B310" s="84"/>
      <c r="C310" s="85"/>
      <c r="D310" s="93"/>
      <c r="E310" s="85"/>
      <c r="F310" s="88"/>
      <c r="G310" s="89"/>
      <c r="H310" s="89"/>
      <c r="I310" s="89"/>
      <c r="J310" s="89"/>
      <c r="K310" s="90"/>
      <c r="L310" s="91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92"/>
      <c r="AD310" s="2"/>
      <c r="AE310" s="2"/>
      <c r="AF310" s="2"/>
      <c r="AG310" s="2"/>
      <c r="AH310" s="2"/>
      <c r="AI310" s="2"/>
      <c r="AJ310" s="2"/>
      <c r="AK310" s="2"/>
      <c r="AL310" s="54"/>
      <c r="AM310" s="54"/>
      <c r="AN310" s="54"/>
      <c r="AO310" s="54"/>
    </row>
    <row r="311" customFormat="false" ht="11.25" hidden="false" customHeight="true" outlineLevel="0" collapsed="false">
      <c r="A311" s="83"/>
      <c r="B311" s="84"/>
      <c r="C311" s="85"/>
      <c r="D311" s="93"/>
      <c r="E311" s="85"/>
      <c r="F311" s="88"/>
      <c r="G311" s="89"/>
      <c r="H311" s="89"/>
      <c r="I311" s="89"/>
      <c r="J311" s="89"/>
      <c r="K311" s="90"/>
      <c r="L311" s="91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92"/>
      <c r="AD311" s="2"/>
      <c r="AE311" s="2"/>
      <c r="AF311" s="2"/>
      <c r="AG311" s="2"/>
      <c r="AH311" s="2"/>
      <c r="AI311" s="2"/>
      <c r="AJ311" s="2"/>
      <c r="AK311" s="2"/>
      <c r="AL311" s="54"/>
      <c r="AM311" s="54"/>
      <c r="AN311" s="54"/>
      <c r="AO311" s="54"/>
    </row>
    <row r="312" customFormat="false" ht="11.25" hidden="false" customHeight="true" outlineLevel="0" collapsed="false">
      <c r="A312" s="83"/>
      <c r="B312" s="84"/>
      <c r="C312" s="85"/>
      <c r="D312" s="93"/>
      <c r="E312" s="85"/>
      <c r="F312" s="88"/>
      <c r="G312" s="89"/>
      <c r="H312" s="89"/>
      <c r="I312" s="89"/>
      <c r="J312" s="89"/>
      <c r="K312" s="90"/>
      <c r="L312" s="91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92"/>
      <c r="AD312" s="2"/>
      <c r="AE312" s="2"/>
      <c r="AF312" s="2"/>
      <c r="AG312" s="2"/>
      <c r="AH312" s="2"/>
      <c r="AI312" s="2"/>
      <c r="AJ312" s="2"/>
      <c r="AK312" s="2"/>
      <c r="AL312" s="54"/>
      <c r="AM312" s="54"/>
      <c r="AN312" s="54"/>
      <c r="AO312" s="54"/>
    </row>
    <row r="313" customFormat="false" ht="11.25" hidden="false" customHeight="true" outlineLevel="0" collapsed="false">
      <c r="A313" s="83"/>
      <c r="B313" s="84"/>
      <c r="C313" s="85"/>
      <c r="D313" s="93"/>
      <c r="E313" s="85"/>
      <c r="F313" s="88"/>
      <c r="G313" s="89"/>
      <c r="H313" s="89"/>
      <c r="I313" s="89"/>
      <c r="J313" s="89"/>
      <c r="K313" s="90"/>
      <c r="L313" s="91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92"/>
      <c r="AD313" s="2"/>
      <c r="AE313" s="2"/>
      <c r="AF313" s="2"/>
      <c r="AG313" s="2"/>
      <c r="AH313" s="2"/>
      <c r="AI313" s="2"/>
      <c r="AJ313" s="2"/>
      <c r="AK313" s="2"/>
      <c r="AL313" s="54"/>
      <c r="AM313" s="54"/>
      <c r="AN313" s="54"/>
      <c r="AO313" s="54"/>
    </row>
    <row r="314" customFormat="false" ht="11.25" hidden="false" customHeight="true" outlineLevel="0" collapsed="false">
      <c r="A314" s="83"/>
      <c r="B314" s="84"/>
      <c r="C314" s="85"/>
      <c r="D314" s="93"/>
      <c r="E314" s="85"/>
      <c r="F314" s="88"/>
      <c r="G314" s="89"/>
      <c r="H314" s="89"/>
      <c r="I314" s="89"/>
      <c r="J314" s="89"/>
      <c r="K314" s="90"/>
      <c r="L314" s="91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92"/>
      <c r="AD314" s="2"/>
      <c r="AE314" s="2"/>
      <c r="AF314" s="2"/>
      <c r="AG314" s="2"/>
      <c r="AH314" s="2"/>
      <c r="AI314" s="2"/>
      <c r="AJ314" s="2"/>
      <c r="AK314" s="2"/>
      <c r="AL314" s="54"/>
      <c r="AM314" s="54"/>
      <c r="AN314" s="54"/>
      <c r="AO314" s="54"/>
    </row>
    <row r="315" customFormat="false" ht="11.25" hidden="false" customHeight="true" outlineLevel="0" collapsed="false">
      <c r="A315" s="83"/>
      <c r="B315" s="84"/>
      <c r="C315" s="85"/>
      <c r="D315" s="93"/>
      <c r="E315" s="85"/>
      <c r="F315" s="88"/>
      <c r="G315" s="89"/>
      <c r="H315" s="89"/>
      <c r="I315" s="89"/>
      <c r="J315" s="89"/>
      <c r="K315" s="90"/>
      <c r="L315" s="91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92"/>
      <c r="AD315" s="2"/>
      <c r="AE315" s="2"/>
      <c r="AF315" s="2"/>
      <c r="AG315" s="2"/>
      <c r="AH315" s="2"/>
      <c r="AI315" s="2"/>
      <c r="AJ315" s="2"/>
      <c r="AK315" s="2"/>
      <c r="AL315" s="54"/>
      <c r="AM315" s="54"/>
      <c r="AN315" s="54"/>
      <c r="AO315" s="54"/>
    </row>
    <row r="316" customFormat="false" ht="11.25" hidden="false" customHeight="true" outlineLevel="0" collapsed="false">
      <c r="A316" s="83"/>
      <c r="B316" s="84"/>
      <c r="C316" s="85"/>
      <c r="D316" s="93"/>
      <c r="E316" s="85"/>
      <c r="F316" s="88"/>
      <c r="G316" s="89"/>
      <c r="H316" s="89"/>
      <c r="I316" s="89"/>
      <c r="J316" s="89"/>
      <c r="K316" s="90"/>
      <c r="L316" s="91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92"/>
      <c r="AD316" s="2"/>
      <c r="AE316" s="2"/>
      <c r="AF316" s="2"/>
      <c r="AG316" s="2"/>
      <c r="AH316" s="2"/>
      <c r="AI316" s="2"/>
      <c r="AJ316" s="2"/>
      <c r="AK316" s="2"/>
      <c r="AL316" s="54"/>
      <c r="AM316" s="54"/>
      <c r="AN316" s="54"/>
      <c r="AO316" s="54"/>
    </row>
    <row r="317" customFormat="false" ht="11.25" hidden="false" customHeight="true" outlineLevel="0" collapsed="false">
      <c r="A317" s="83"/>
      <c r="B317" s="84"/>
      <c r="C317" s="85"/>
      <c r="D317" s="93"/>
      <c r="E317" s="85"/>
      <c r="F317" s="88"/>
      <c r="G317" s="89"/>
      <c r="H317" s="89"/>
      <c r="I317" s="89"/>
      <c r="J317" s="89"/>
      <c r="K317" s="90"/>
      <c r="L317" s="91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92"/>
      <c r="AD317" s="2"/>
      <c r="AE317" s="2"/>
      <c r="AF317" s="2"/>
      <c r="AG317" s="2"/>
      <c r="AH317" s="2"/>
      <c r="AI317" s="2"/>
      <c r="AJ317" s="2"/>
      <c r="AK317" s="2"/>
      <c r="AL317" s="54"/>
      <c r="AM317" s="54"/>
      <c r="AN317" s="54"/>
      <c r="AO317" s="54"/>
    </row>
    <row r="318" customFormat="false" ht="11.25" hidden="false" customHeight="true" outlineLevel="0" collapsed="false">
      <c r="A318" s="83"/>
      <c r="B318" s="84"/>
      <c r="C318" s="85"/>
      <c r="D318" s="93"/>
      <c r="E318" s="85"/>
      <c r="F318" s="88"/>
      <c r="G318" s="89"/>
      <c r="H318" s="89"/>
      <c r="I318" s="89"/>
      <c r="J318" s="89"/>
      <c r="K318" s="90"/>
      <c r="L318" s="91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92"/>
      <c r="AD318" s="2"/>
      <c r="AE318" s="2"/>
      <c r="AF318" s="2"/>
      <c r="AG318" s="2"/>
      <c r="AH318" s="2"/>
      <c r="AI318" s="2"/>
      <c r="AJ318" s="2"/>
      <c r="AK318" s="2"/>
      <c r="AL318" s="54"/>
      <c r="AM318" s="54"/>
      <c r="AN318" s="54"/>
      <c r="AO318" s="54"/>
    </row>
    <row r="319" customFormat="false" ht="11.25" hidden="false" customHeight="true" outlineLevel="0" collapsed="false">
      <c r="A319" s="83"/>
      <c r="B319" s="84"/>
      <c r="C319" s="85"/>
      <c r="D319" s="93"/>
      <c r="E319" s="85"/>
      <c r="F319" s="88"/>
      <c r="G319" s="89"/>
      <c r="H319" s="89"/>
      <c r="I319" s="89"/>
      <c r="J319" s="89"/>
      <c r="K319" s="90"/>
      <c r="L319" s="91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92"/>
      <c r="AD319" s="2"/>
      <c r="AE319" s="2"/>
      <c r="AF319" s="2"/>
      <c r="AG319" s="2"/>
      <c r="AH319" s="2"/>
      <c r="AI319" s="2"/>
      <c r="AJ319" s="2"/>
      <c r="AK319" s="2"/>
      <c r="AL319" s="54"/>
      <c r="AM319" s="54"/>
      <c r="AN319" s="54"/>
      <c r="AO319" s="54"/>
    </row>
    <row r="320" customFormat="false" ht="11.25" hidden="false" customHeight="true" outlineLevel="0" collapsed="false">
      <c r="A320" s="83"/>
      <c r="B320" s="84"/>
      <c r="C320" s="85"/>
      <c r="D320" s="93"/>
      <c r="E320" s="85"/>
      <c r="F320" s="88"/>
      <c r="G320" s="89"/>
      <c r="H320" s="89"/>
      <c r="I320" s="89"/>
      <c r="J320" s="89"/>
      <c r="K320" s="90"/>
      <c r="L320" s="91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92"/>
      <c r="AD320" s="2"/>
      <c r="AE320" s="2"/>
      <c r="AF320" s="2"/>
      <c r="AG320" s="2"/>
      <c r="AH320" s="2"/>
      <c r="AI320" s="2"/>
      <c r="AJ320" s="2"/>
      <c r="AK320" s="2"/>
      <c r="AL320" s="54"/>
      <c r="AM320" s="54"/>
      <c r="AN320" s="54"/>
      <c r="AO320" s="54"/>
    </row>
    <row r="321" customFormat="false" ht="11.25" hidden="false" customHeight="true" outlineLevel="0" collapsed="false">
      <c r="A321" s="83"/>
      <c r="B321" s="84"/>
      <c r="C321" s="85"/>
      <c r="D321" s="93"/>
      <c r="E321" s="85"/>
      <c r="F321" s="88"/>
      <c r="G321" s="89"/>
      <c r="H321" s="89"/>
      <c r="I321" s="89"/>
      <c r="J321" s="89"/>
      <c r="K321" s="90"/>
      <c r="L321" s="91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92"/>
      <c r="AD321" s="2"/>
      <c r="AE321" s="2"/>
      <c r="AF321" s="2"/>
      <c r="AG321" s="2"/>
      <c r="AH321" s="2"/>
      <c r="AI321" s="2"/>
      <c r="AJ321" s="2"/>
      <c r="AK321" s="2"/>
      <c r="AL321" s="54"/>
      <c r="AM321" s="54"/>
      <c r="AN321" s="54"/>
      <c r="AO321" s="54"/>
    </row>
    <row r="322" customFormat="false" ht="11.25" hidden="false" customHeight="true" outlineLevel="0" collapsed="false">
      <c r="A322" s="83"/>
      <c r="B322" s="84"/>
      <c r="C322" s="85"/>
      <c r="D322" s="93"/>
      <c r="E322" s="85"/>
      <c r="F322" s="88"/>
      <c r="G322" s="89"/>
      <c r="H322" s="89"/>
      <c r="I322" s="89"/>
      <c r="J322" s="89"/>
      <c r="K322" s="90"/>
      <c r="L322" s="91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92"/>
      <c r="AD322" s="2"/>
      <c r="AE322" s="2"/>
      <c r="AF322" s="2"/>
      <c r="AG322" s="2"/>
      <c r="AH322" s="2"/>
      <c r="AI322" s="2"/>
      <c r="AJ322" s="2"/>
      <c r="AK322" s="2"/>
      <c r="AL322" s="54"/>
      <c r="AM322" s="54"/>
      <c r="AN322" s="54"/>
      <c r="AO322" s="54"/>
    </row>
    <row r="323" customFormat="false" ht="11.25" hidden="false" customHeight="true" outlineLevel="0" collapsed="false">
      <c r="A323" s="83"/>
      <c r="B323" s="84"/>
      <c r="C323" s="85"/>
      <c r="D323" s="93"/>
      <c r="E323" s="85"/>
      <c r="F323" s="88"/>
      <c r="G323" s="89"/>
      <c r="H323" s="89"/>
      <c r="I323" s="89"/>
      <c r="J323" s="89"/>
      <c r="K323" s="90"/>
      <c r="L323" s="91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92"/>
      <c r="AD323" s="2"/>
      <c r="AE323" s="2"/>
      <c r="AF323" s="2"/>
      <c r="AG323" s="2"/>
      <c r="AH323" s="2"/>
      <c r="AI323" s="2"/>
      <c r="AJ323" s="2"/>
      <c r="AK323" s="2"/>
      <c r="AL323" s="54"/>
      <c r="AM323" s="54"/>
      <c r="AN323" s="54"/>
      <c r="AO323" s="54"/>
    </row>
    <row r="324" customFormat="false" ht="11.25" hidden="false" customHeight="true" outlineLevel="0" collapsed="false">
      <c r="A324" s="83"/>
      <c r="B324" s="84"/>
      <c r="C324" s="85"/>
      <c r="D324" s="93"/>
      <c r="E324" s="85"/>
      <c r="F324" s="88"/>
      <c r="G324" s="89"/>
      <c r="H324" s="89"/>
      <c r="I324" s="89"/>
      <c r="J324" s="89"/>
      <c r="K324" s="90"/>
      <c r="L324" s="91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92"/>
      <c r="AD324" s="2"/>
      <c r="AE324" s="2"/>
      <c r="AF324" s="2"/>
      <c r="AG324" s="2"/>
      <c r="AH324" s="2"/>
      <c r="AI324" s="2"/>
      <c r="AJ324" s="2"/>
      <c r="AK324" s="2"/>
      <c r="AL324" s="54"/>
      <c r="AM324" s="54"/>
      <c r="AN324" s="54"/>
      <c r="AO324" s="54"/>
    </row>
    <row r="325" customFormat="false" ht="11.25" hidden="false" customHeight="true" outlineLevel="0" collapsed="false">
      <c r="A325" s="83"/>
      <c r="B325" s="84"/>
      <c r="C325" s="85"/>
      <c r="D325" s="93"/>
      <c r="E325" s="85"/>
      <c r="F325" s="88"/>
      <c r="G325" s="89"/>
      <c r="H325" s="89"/>
      <c r="I325" s="89"/>
      <c r="J325" s="89"/>
      <c r="K325" s="90"/>
      <c r="L325" s="91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92"/>
      <c r="AD325" s="2"/>
      <c r="AE325" s="2"/>
      <c r="AF325" s="2"/>
      <c r="AG325" s="2"/>
      <c r="AH325" s="2"/>
      <c r="AI325" s="2"/>
      <c r="AJ325" s="2"/>
      <c r="AK325" s="2"/>
      <c r="AL325" s="54"/>
      <c r="AM325" s="54"/>
      <c r="AN325" s="54"/>
      <c r="AO325" s="54"/>
    </row>
    <row r="326" customFormat="false" ht="11.25" hidden="false" customHeight="true" outlineLevel="0" collapsed="false">
      <c r="A326" s="83"/>
      <c r="B326" s="84"/>
      <c r="C326" s="85"/>
      <c r="D326" s="93"/>
      <c r="E326" s="85"/>
      <c r="F326" s="88"/>
      <c r="G326" s="89"/>
      <c r="H326" s="89"/>
      <c r="I326" s="89"/>
      <c r="J326" s="89"/>
      <c r="K326" s="90"/>
      <c r="L326" s="91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92"/>
      <c r="AD326" s="2"/>
      <c r="AE326" s="2"/>
      <c r="AF326" s="2"/>
      <c r="AG326" s="2"/>
      <c r="AH326" s="2"/>
      <c r="AI326" s="2"/>
      <c r="AJ326" s="2"/>
      <c r="AK326" s="2"/>
      <c r="AL326" s="54"/>
      <c r="AM326" s="54"/>
      <c r="AN326" s="54"/>
      <c r="AO326" s="54"/>
    </row>
    <row r="327" customFormat="false" ht="11.25" hidden="false" customHeight="true" outlineLevel="0" collapsed="false">
      <c r="A327" s="83"/>
      <c r="B327" s="84"/>
      <c r="C327" s="85"/>
      <c r="D327" s="93"/>
      <c r="E327" s="85"/>
      <c r="F327" s="88"/>
      <c r="G327" s="89"/>
      <c r="H327" s="89"/>
      <c r="I327" s="89"/>
      <c r="J327" s="89"/>
      <c r="K327" s="90"/>
      <c r="L327" s="91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92"/>
      <c r="AD327" s="2"/>
      <c r="AE327" s="2"/>
      <c r="AF327" s="2"/>
      <c r="AG327" s="2"/>
      <c r="AH327" s="2"/>
      <c r="AI327" s="2"/>
      <c r="AJ327" s="2"/>
      <c r="AK327" s="2"/>
      <c r="AL327" s="54"/>
      <c r="AM327" s="54"/>
      <c r="AN327" s="54"/>
      <c r="AO327" s="54"/>
    </row>
    <row r="328" customFormat="false" ht="11.25" hidden="false" customHeight="true" outlineLevel="0" collapsed="false">
      <c r="A328" s="83"/>
      <c r="B328" s="84"/>
      <c r="C328" s="85"/>
      <c r="D328" s="93"/>
      <c r="E328" s="85"/>
      <c r="F328" s="88"/>
      <c r="G328" s="89"/>
      <c r="H328" s="89"/>
      <c r="I328" s="89"/>
      <c r="J328" s="89"/>
      <c r="K328" s="90"/>
      <c r="L328" s="91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92"/>
      <c r="AD328" s="2"/>
      <c r="AE328" s="2"/>
      <c r="AF328" s="2"/>
      <c r="AG328" s="2"/>
      <c r="AH328" s="2"/>
      <c r="AI328" s="2"/>
      <c r="AJ328" s="2"/>
      <c r="AK328" s="2"/>
      <c r="AL328" s="54"/>
      <c r="AM328" s="54"/>
      <c r="AN328" s="54"/>
      <c r="AO328" s="54"/>
    </row>
    <row r="329" customFormat="false" ht="11.25" hidden="false" customHeight="true" outlineLevel="0" collapsed="false">
      <c r="A329" s="83"/>
      <c r="B329" s="84"/>
      <c r="C329" s="85"/>
      <c r="D329" s="93"/>
      <c r="E329" s="85"/>
      <c r="F329" s="88"/>
      <c r="G329" s="89"/>
      <c r="H329" s="89"/>
      <c r="I329" s="89"/>
      <c r="J329" s="89"/>
      <c r="K329" s="90"/>
      <c r="L329" s="91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92"/>
      <c r="AD329" s="2"/>
      <c r="AE329" s="2"/>
      <c r="AF329" s="2"/>
      <c r="AG329" s="2"/>
      <c r="AH329" s="2"/>
      <c r="AI329" s="2"/>
      <c r="AJ329" s="2"/>
      <c r="AK329" s="2"/>
      <c r="AL329" s="54"/>
      <c r="AM329" s="54"/>
      <c r="AN329" s="54"/>
      <c r="AO329" s="54"/>
    </row>
    <row r="330" customFormat="false" ht="11.25" hidden="false" customHeight="true" outlineLevel="0" collapsed="false">
      <c r="A330" s="83"/>
      <c r="B330" s="84"/>
      <c r="C330" s="85"/>
      <c r="D330" s="93"/>
      <c r="E330" s="85"/>
      <c r="F330" s="88"/>
      <c r="G330" s="89"/>
      <c r="H330" s="89"/>
      <c r="I330" s="89"/>
      <c r="J330" s="89"/>
      <c r="K330" s="90"/>
      <c r="L330" s="91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92"/>
      <c r="AD330" s="2"/>
      <c r="AE330" s="2"/>
      <c r="AF330" s="2"/>
      <c r="AG330" s="2"/>
      <c r="AH330" s="2"/>
      <c r="AI330" s="2"/>
      <c r="AJ330" s="2"/>
      <c r="AK330" s="2"/>
      <c r="AL330" s="54"/>
      <c r="AM330" s="54"/>
      <c r="AN330" s="54"/>
      <c r="AO330" s="54"/>
    </row>
    <row r="331" customFormat="false" ht="11.25" hidden="false" customHeight="true" outlineLevel="0" collapsed="false">
      <c r="A331" s="83"/>
      <c r="B331" s="84"/>
      <c r="C331" s="85"/>
      <c r="D331" s="93"/>
      <c r="E331" s="85"/>
      <c r="F331" s="88"/>
      <c r="G331" s="89"/>
      <c r="H331" s="89"/>
      <c r="I331" s="89"/>
      <c r="J331" s="89"/>
      <c r="K331" s="90"/>
      <c r="L331" s="91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92"/>
      <c r="AD331" s="2"/>
      <c r="AE331" s="2"/>
      <c r="AF331" s="2"/>
      <c r="AG331" s="2"/>
      <c r="AH331" s="2"/>
      <c r="AI331" s="2"/>
      <c r="AJ331" s="2"/>
      <c r="AK331" s="2"/>
      <c r="AL331" s="54"/>
      <c r="AM331" s="54"/>
      <c r="AN331" s="54"/>
      <c r="AO331" s="54"/>
    </row>
    <row r="332" customFormat="false" ht="11.25" hidden="false" customHeight="true" outlineLevel="0" collapsed="false">
      <c r="A332" s="83"/>
      <c r="B332" s="84"/>
      <c r="C332" s="85"/>
      <c r="D332" s="93"/>
      <c r="E332" s="85"/>
      <c r="F332" s="88"/>
      <c r="G332" s="89"/>
      <c r="H332" s="89"/>
      <c r="I332" s="89"/>
      <c r="J332" s="89"/>
      <c r="K332" s="90"/>
      <c r="L332" s="91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92"/>
      <c r="AD332" s="2"/>
      <c r="AE332" s="2"/>
      <c r="AF332" s="2"/>
      <c r="AG332" s="2"/>
      <c r="AH332" s="2"/>
      <c r="AI332" s="2"/>
      <c r="AJ332" s="2"/>
      <c r="AK332" s="2"/>
      <c r="AL332" s="54"/>
      <c r="AM332" s="54"/>
      <c r="AN332" s="54"/>
      <c r="AO332" s="54"/>
    </row>
    <row r="333" customFormat="false" ht="11.25" hidden="false" customHeight="true" outlineLevel="0" collapsed="false">
      <c r="A333" s="83"/>
      <c r="B333" s="84"/>
      <c r="C333" s="85"/>
      <c r="D333" s="93"/>
      <c r="E333" s="85"/>
      <c r="F333" s="88"/>
      <c r="G333" s="89"/>
      <c r="H333" s="89"/>
      <c r="I333" s="89"/>
      <c r="J333" s="89"/>
      <c r="K333" s="90"/>
      <c r="L333" s="91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92"/>
      <c r="AD333" s="2"/>
      <c r="AE333" s="2"/>
      <c r="AF333" s="2"/>
      <c r="AG333" s="2"/>
      <c r="AH333" s="2"/>
      <c r="AI333" s="2"/>
      <c r="AJ333" s="2"/>
      <c r="AK333" s="2"/>
      <c r="AL333" s="54"/>
      <c r="AM333" s="54"/>
      <c r="AN333" s="54"/>
      <c r="AO333" s="54"/>
    </row>
    <row r="334" customFormat="false" ht="11.25" hidden="false" customHeight="true" outlineLevel="0" collapsed="false">
      <c r="A334" s="83"/>
      <c r="B334" s="84"/>
      <c r="C334" s="85"/>
      <c r="D334" s="93"/>
      <c r="E334" s="85"/>
      <c r="F334" s="88"/>
      <c r="G334" s="89"/>
      <c r="H334" s="89"/>
      <c r="I334" s="89"/>
      <c r="J334" s="89"/>
      <c r="K334" s="90"/>
      <c r="L334" s="91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92"/>
      <c r="AD334" s="2"/>
      <c r="AE334" s="2"/>
      <c r="AF334" s="2"/>
      <c r="AG334" s="2"/>
      <c r="AH334" s="2"/>
      <c r="AI334" s="2"/>
      <c r="AJ334" s="2"/>
      <c r="AK334" s="2"/>
      <c r="AL334" s="54"/>
      <c r="AM334" s="54"/>
      <c r="AN334" s="54"/>
      <c r="AO334" s="54"/>
    </row>
    <row r="335" customFormat="false" ht="11.25" hidden="false" customHeight="true" outlineLevel="0" collapsed="false">
      <c r="A335" s="83"/>
      <c r="B335" s="84"/>
      <c r="C335" s="85"/>
      <c r="D335" s="93"/>
      <c r="E335" s="85"/>
      <c r="F335" s="88"/>
      <c r="G335" s="89"/>
      <c r="H335" s="89"/>
      <c r="I335" s="89"/>
      <c r="J335" s="89"/>
      <c r="K335" s="90"/>
      <c r="L335" s="91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92"/>
      <c r="AD335" s="2"/>
      <c r="AE335" s="2"/>
      <c r="AF335" s="2"/>
      <c r="AG335" s="2"/>
      <c r="AH335" s="2"/>
      <c r="AI335" s="2"/>
      <c r="AJ335" s="2"/>
      <c r="AK335" s="2"/>
      <c r="AL335" s="54"/>
      <c r="AM335" s="54"/>
      <c r="AN335" s="54"/>
      <c r="AO335" s="54"/>
    </row>
    <row r="336" customFormat="false" ht="11.25" hidden="false" customHeight="true" outlineLevel="0" collapsed="false">
      <c r="A336" s="83"/>
      <c r="B336" s="84"/>
      <c r="C336" s="85"/>
      <c r="D336" s="93"/>
      <c r="E336" s="85"/>
      <c r="F336" s="88"/>
      <c r="G336" s="89"/>
      <c r="H336" s="89"/>
      <c r="I336" s="89"/>
      <c r="J336" s="89"/>
      <c r="K336" s="90"/>
      <c r="L336" s="91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92"/>
      <c r="AD336" s="2"/>
      <c r="AE336" s="2"/>
      <c r="AF336" s="2"/>
      <c r="AG336" s="2"/>
      <c r="AH336" s="2"/>
      <c r="AI336" s="2"/>
      <c r="AJ336" s="2"/>
      <c r="AK336" s="2"/>
      <c r="AL336" s="54"/>
      <c r="AM336" s="54"/>
      <c r="AN336" s="54"/>
      <c r="AO336" s="54"/>
    </row>
    <row r="337" customFormat="false" ht="11.25" hidden="false" customHeight="true" outlineLevel="0" collapsed="false">
      <c r="A337" s="83"/>
      <c r="B337" s="84"/>
      <c r="C337" s="85"/>
      <c r="D337" s="93"/>
      <c r="E337" s="85"/>
      <c r="F337" s="88"/>
      <c r="G337" s="89"/>
      <c r="H337" s="89"/>
      <c r="I337" s="89"/>
      <c r="J337" s="89"/>
      <c r="K337" s="90"/>
      <c r="L337" s="91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92"/>
      <c r="AD337" s="2"/>
      <c r="AE337" s="2"/>
      <c r="AF337" s="2"/>
      <c r="AG337" s="2"/>
      <c r="AH337" s="2"/>
      <c r="AI337" s="2"/>
      <c r="AJ337" s="2"/>
      <c r="AK337" s="2"/>
      <c r="AL337" s="54"/>
      <c r="AM337" s="54"/>
      <c r="AN337" s="54"/>
      <c r="AO337" s="54"/>
    </row>
    <row r="338" customFormat="false" ht="11.25" hidden="false" customHeight="true" outlineLevel="0" collapsed="false">
      <c r="A338" s="83"/>
      <c r="B338" s="84"/>
      <c r="C338" s="85"/>
      <c r="D338" s="93"/>
      <c r="E338" s="85"/>
      <c r="F338" s="88"/>
      <c r="G338" s="89"/>
      <c r="H338" s="89"/>
      <c r="I338" s="89"/>
      <c r="J338" s="89"/>
      <c r="K338" s="90"/>
      <c r="L338" s="91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92"/>
      <c r="AD338" s="2"/>
      <c r="AE338" s="2"/>
      <c r="AF338" s="2"/>
      <c r="AG338" s="2"/>
      <c r="AH338" s="2"/>
      <c r="AI338" s="2"/>
      <c r="AJ338" s="2"/>
      <c r="AK338" s="2"/>
      <c r="AL338" s="54"/>
      <c r="AM338" s="54"/>
      <c r="AN338" s="54"/>
      <c r="AO338" s="54"/>
    </row>
    <row r="339" customFormat="false" ht="11.25" hidden="false" customHeight="true" outlineLevel="0" collapsed="false">
      <c r="A339" s="83"/>
      <c r="B339" s="84"/>
      <c r="C339" s="85"/>
      <c r="D339" s="93"/>
      <c r="E339" s="85"/>
      <c r="F339" s="88"/>
      <c r="G339" s="89"/>
      <c r="H339" s="89"/>
      <c r="I339" s="89"/>
      <c r="J339" s="89"/>
      <c r="K339" s="90"/>
      <c r="L339" s="91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92"/>
      <c r="AD339" s="2"/>
      <c r="AE339" s="2"/>
      <c r="AF339" s="2"/>
      <c r="AG339" s="2"/>
      <c r="AH339" s="2"/>
      <c r="AI339" s="2"/>
      <c r="AJ339" s="2"/>
      <c r="AK339" s="2"/>
      <c r="AL339" s="54"/>
      <c r="AM339" s="54"/>
      <c r="AN339" s="54"/>
      <c r="AO339" s="54"/>
    </row>
    <row r="340" customFormat="false" ht="11.25" hidden="false" customHeight="true" outlineLevel="0" collapsed="false">
      <c r="A340" s="83"/>
      <c r="B340" s="84"/>
      <c r="C340" s="85"/>
      <c r="D340" s="93"/>
      <c r="E340" s="85"/>
      <c r="F340" s="88"/>
      <c r="G340" s="89"/>
      <c r="H340" s="89"/>
      <c r="I340" s="89"/>
      <c r="J340" s="89"/>
      <c r="K340" s="90"/>
      <c r="L340" s="91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92"/>
      <c r="AD340" s="2"/>
      <c r="AE340" s="2"/>
      <c r="AF340" s="2"/>
      <c r="AG340" s="2"/>
      <c r="AH340" s="2"/>
      <c r="AI340" s="2"/>
      <c r="AJ340" s="2"/>
      <c r="AK340" s="2"/>
      <c r="AL340" s="54"/>
      <c r="AM340" s="54"/>
      <c r="AN340" s="54"/>
      <c r="AO340" s="54"/>
    </row>
    <row r="341" customFormat="false" ht="11.25" hidden="false" customHeight="true" outlineLevel="0" collapsed="false">
      <c r="A341" s="83"/>
      <c r="B341" s="84"/>
      <c r="C341" s="85"/>
      <c r="D341" s="93"/>
      <c r="E341" s="85"/>
      <c r="F341" s="88"/>
      <c r="G341" s="89"/>
      <c r="H341" s="89"/>
      <c r="I341" s="89"/>
      <c r="J341" s="89"/>
      <c r="K341" s="90"/>
      <c r="L341" s="91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92"/>
      <c r="AD341" s="2"/>
      <c r="AE341" s="2"/>
      <c r="AF341" s="2"/>
      <c r="AG341" s="2"/>
      <c r="AH341" s="2"/>
      <c r="AI341" s="2"/>
      <c r="AJ341" s="2"/>
      <c r="AK341" s="2"/>
      <c r="AL341" s="54"/>
      <c r="AM341" s="54"/>
      <c r="AN341" s="54"/>
      <c r="AO341" s="54"/>
    </row>
    <row r="342" customFormat="false" ht="11.25" hidden="false" customHeight="true" outlineLevel="0" collapsed="false">
      <c r="A342" s="83"/>
      <c r="B342" s="84"/>
      <c r="C342" s="85"/>
      <c r="D342" s="93"/>
      <c r="E342" s="85"/>
      <c r="F342" s="88"/>
      <c r="G342" s="89"/>
      <c r="H342" s="89"/>
      <c r="I342" s="89"/>
      <c r="J342" s="89"/>
      <c r="K342" s="90"/>
      <c r="L342" s="91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92"/>
      <c r="AD342" s="2"/>
      <c r="AE342" s="2"/>
      <c r="AF342" s="2"/>
      <c r="AG342" s="2"/>
      <c r="AH342" s="2"/>
      <c r="AI342" s="2"/>
      <c r="AJ342" s="2"/>
      <c r="AK342" s="2"/>
      <c r="AL342" s="54"/>
      <c r="AM342" s="54"/>
      <c r="AN342" s="54"/>
      <c r="AO342" s="54"/>
    </row>
    <row r="343" customFormat="false" ht="11.25" hidden="false" customHeight="true" outlineLevel="0" collapsed="false">
      <c r="A343" s="83"/>
      <c r="B343" s="84"/>
      <c r="C343" s="85"/>
      <c r="D343" s="93"/>
      <c r="E343" s="85"/>
      <c r="F343" s="88"/>
      <c r="G343" s="89"/>
      <c r="H343" s="89"/>
      <c r="I343" s="89"/>
      <c r="J343" s="89"/>
      <c r="K343" s="90"/>
      <c r="L343" s="91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92"/>
      <c r="AD343" s="2"/>
      <c r="AE343" s="2"/>
      <c r="AF343" s="2"/>
      <c r="AG343" s="2"/>
      <c r="AH343" s="2"/>
      <c r="AI343" s="2"/>
      <c r="AJ343" s="2"/>
      <c r="AK343" s="2"/>
      <c r="AL343" s="54"/>
      <c r="AM343" s="54"/>
      <c r="AN343" s="54"/>
      <c r="AO343" s="54"/>
    </row>
    <row r="344" customFormat="false" ht="11.25" hidden="false" customHeight="true" outlineLevel="0" collapsed="false">
      <c r="A344" s="83"/>
      <c r="B344" s="84"/>
      <c r="C344" s="85"/>
      <c r="D344" s="93"/>
      <c r="E344" s="85"/>
      <c r="F344" s="88"/>
      <c r="G344" s="89"/>
      <c r="H344" s="89"/>
      <c r="I344" s="89"/>
      <c r="J344" s="89"/>
      <c r="K344" s="90"/>
      <c r="L344" s="91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92"/>
      <c r="AD344" s="2"/>
      <c r="AE344" s="2"/>
      <c r="AF344" s="2"/>
      <c r="AG344" s="2"/>
      <c r="AH344" s="2"/>
      <c r="AI344" s="2"/>
      <c r="AJ344" s="2"/>
      <c r="AK344" s="2"/>
      <c r="AL344" s="54"/>
      <c r="AM344" s="54"/>
      <c r="AN344" s="54"/>
      <c r="AO344" s="54"/>
    </row>
    <row r="345" customFormat="false" ht="11.25" hidden="false" customHeight="true" outlineLevel="0" collapsed="false">
      <c r="A345" s="83"/>
      <c r="B345" s="84"/>
      <c r="C345" s="85"/>
      <c r="D345" s="93"/>
      <c r="E345" s="85"/>
      <c r="F345" s="88"/>
      <c r="G345" s="89"/>
      <c r="H345" s="89"/>
      <c r="I345" s="89"/>
      <c r="J345" s="89"/>
      <c r="K345" s="90"/>
      <c r="L345" s="91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92"/>
      <c r="AD345" s="2"/>
      <c r="AE345" s="2"/>
      <c r="AF345" s="2"/>
      <c r="AG345" s="2"/>
      <c r="AH345" s="2"/>
      <c r="AI345" s="2"/>
      <c r="AJ345" s="2"/>
      <c r="AK345" s="2"/>
      <c r="AL345" s="54"/>
      <c r="AM345" s="54"/>
      <c r="AN345" s="54"/>
      <c r="AO345" s="54"/>
    </row>
    <row r="346" customFormat="false" ht="11.25" hidden="false" customHeight="true" outlineLevel="0" collapsed="false">
      <c r="A346" s="83"/>
      <c r="B346" s="84"/>
      <c r="C346" s="85"/>
      <c r="D346" s="93"/>
      <c r="E346" s="85"/>
      <c r="F346" s="88"/>
      <c r="G346" s="89"/>
      <c r="H346" s="89"/>
      <c r="I346" s="89"/>
      <c r="J346" s="89"/>
      <c r="K346" s="90"/>
      <c r="L346" s="91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92"/>
      <c r="AD346" s="2"/>
      <c r="AE346" s="2"/>
      <c r="AF346" s="2"/>
      <c r="AG346" s="2"/>
      <c r="AH346" s="2"/>
      <c r="AI346" s="2"/>
      <c r="AJ346" s="2"/>
      <c r="AK346" s="2"/>
      <c r="AL346" s="54"/>
      <c r="AM346" s="54"/>
      <c r="AN346" s="54"/>
      <c r="AO346" s="54"/>
    </row>
    <row r="347" customFormat="false" ht="11.25" hidden="false" customHeight="true" outlineLevel="0" collapsed="false">
      <c r="A347" s="83"/>
      <c r="B347" s="84"/>
      <c r="C347" s="85"/>
      <c r="D347" s="93"/>
      <c r="E347" s="85"/>
      <c r="F347" s="88"/>
      <c r="G347" s="89"/>
      <c r="H347" s="89"/>
      <c r="I347" s="89"/>
      <c r="J347" s="89"/>
      <c r="K347" s="90"/>
      <c r="L347" s="91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92"/>
      <c r="AD347" s="2"/>
      <c r="AE347" s="2"/>
      <c r="AF347" s="2"/>
      <c r="AG347" s="2"/>
      <c r="AH347" s="2"/>
      <c r="AI347" s="2"/>
      <c r="AJ347" s="2"/>
      <c r="AK347" s="2"/>
      <c r="AL347" s="54"/>
      <c r="AM347" s="54"/>
      <c r="AN347" s="54"/>
      <c r="AO347" s="54"/>
    </row>
    <row r="348" customFormat="false" ht="11.25" hidden="false" customHeight="true" outlineLevel="0" collapsed="false">
      <c r="A348" s="83"/>
      <c r="B348" s="84"/>
      <c r="C348" s="85"/>
      <c r="D348" s="93"/>
      <c r="E348" s="85"/>
      <c r="F348" s="88"/>
      <c r="G348" s="89"/>
      <c r="H348" s="89"/>
      <c r="I348" s="89"/>
      <c r="J348" s="89"/>
      <c r="K348" s="90"/>
      <c r="L348" s="91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92"/>
      <c r="AD348" s="2"/>
      <c r="AE348" s="2"/>
      <c r="AF348" s="2"/>
      <c r="AG348" s="2"/>
      <c r="AH348" s="2"/>
      <c r="AI348" s="2"/>
      <c r="AJ348" s="2"/>
      <c r="AK348" s="2"/>
      <c r="AL348" s="54"/>
      <c r="AM348" s="54"/>
      <c r="AN348" s="54"/>
      <c r="AO348" s="54"/>
    </row>
    <row r="349" customFormat="false" ht="11.25" hidden="false" customHeight="true" outlineLevel="0" collapsed="false">
      <c r="A349" s="83"/>
      <c r="B349" s="84"/>
      <c r="C349" s="85"/>
      <c r="D349" s="93"/>
      <c r="E349" s="85"/>
      <c r="F349" s="88"/>
      <c r="G349" s="89"/>
      <c r="H349" s="89"/>
      <c r="I349" s="89"/>
      <c r="J349" s="89"/>
      <c r="K349" s="90"/>
      <c r="L349" s="91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92"/>
      <c r="AD349" s="2"/>
      <c r="AE349" s="2"/>
      <c r="AF349" s="2"/>
      <c r="AG349" s="2"/>
      <c r="AH349" s="2"/>
      <c r="AI349" s="2"/>
      <c r="AJ349" s="2"/>
      <c r="AK349" s="2"/>
      <c r="AL349" s="54"/>
      <c r="AM349" s="54"/>
      <c r="AN349" s="54"/>
      <c r="AO349" s="54"/>
    </row>
    <row r="350" customFormat="false" ht="11.25" hidden="false" customHeight="true" outlineLevel="0" collapsed="false">
      <c r="A350" s="83"/>
      <c r="B350" s="84"/>
      <c r="C350" s="85"/>
      <c r="D350" s="93"/>
      <c r="E350" s="85"/>
      <c r="F350" s="88"/>
      <c r="G350" s="89"/>
      <c r="H350" s="89"/>
      <c r="I350" s="89"/>
      <c r="J350" s="89"/>
      <c r="K350" s="90"/>
      <c r="L350" s="91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92"/>
      <c r="AD350" s="2"/>
      <c r="AE350" s="2"/>
      <c r="AF350" s="2"/>
      <c r="AG350" s="2"/>
      <c r="AH350" s="2"/>
      <c r="AI350" s="2"/>
      <c r="AJ350" s="2"/>
      <c r="AK350" s="2"/>
      <c r="AL350" s="54"/>
      <c r="AM350" s="54"/>
      <c r="AN350" s="54"/>
      <c r="AO350" s="54"/>
    </row>
    <row r="351" customFormat="false" ht="11.25" hidden="false" customHeight="true" outlineLevel="0" collapsed="false">
      <c r="A351" s="83"/>
      <c r="B351" s="84"/>
      <c r="C351" s="85"/>
      <c r="D351" s="93"/>
      <c r="E351" s="85"/>
      <c r="F351" s="88"/>
      <c r="G351" s="89"/>
      <c r="H351" s="89"/>
      <c r="I351" s="89"/>
      <c r="J351" s="89"/>
      <c r="K351" s="90"/>
      <c r="L351" s="91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92"/>
      <c r="AD351" s="2"/>
      <c r="AE351" s="2"/>
      <c r="AF351" s="2"/>
      <c r="AG351" s="2"/>
      <c r="AH351" s="2"/>
      <c r="AI351" s="2"/>
      <c r="AJ351" s="2"/>
      <c r="AK351" s="2"/>
      <c r="AL351" s="54"/>
      <c r="AM351" s="54"/>
      <c r="AN351" s="54"/>
      <c r="AO351" s="54"/>
    </row>
    <row r="352" customFormat="false" ht="11.25" hidden="false" customHeight="true" outlineLevel="0" collapsed="false">
      <c r="A352" s="83"/>
      <c r="B352" s="84"/>
      <c r="C352" s="85"/>
      <c r="D352" s="93"/>
      <c r="E352" s="85"/>
      <c r="F352" s="88"/>
      <c r="G352" s="89"/>
      <c r="H352" s="89"/>
      <c r="I352" s="89"/>
      <c r="J352" s="89"/>
      <c r="K352" s="90"/>
      <c r="L352" s="91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92"/>
      <c r="AD352" s="2"/>
      <c r="AE352" s="2"/>
      <c r="AF352" s="2"/>
      <c r="AG352" s="2"/>
      <c r="AH352" s="2"/>
      <c r="AI352" s="2"/>
      <c r="AJ352" s="2"/>
      <c r="AK352" s="2"/>
      <c r="AL352" s="54"/>
      <c r="AM352" s="54"/>
      <c r="AN352" s="54"/>
      <c r="AO352" s="54"/>
    </row>
    <row r="353" customFormat="false" ht="11.25" hidden="false" customHeight="true" outlineLevel="0" collapsed="false">
      <c r="A353" s="83"/>
      <c r="B353" s="84"/>
      <c r="C353" s="85"/>
      <c r="D353" s="93"/>
      <c r="E353" s="85"/>
      <c r="F353" s="88"/>
      <c r="G353" s="89"/>
      <c r="H353" s="89"/>
      <c r="I353" s="89"/>
      <c r="J353" s="89"/>
      <c r="K353" s="90"/>
      <c r="L353" s="91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92"/>
      <c r="AD353" s="2"/>
      <c r="AE353" s="2"/>
      <c r="AF353" s="2"/>
      <c r="AG353" s="2"/>
      <c r="AH353" s="2"/>
      <c r="AI353" s="2"/>
      <c r="AJ353" s="2"/>
      <c r="AK353" s="2"/>
      <c r="AL353" s="54"/>
      <c r="AM353" s="54"/>
      <c r="AN353" s="54"/>
      <c r="AO353" s="54"/>
    </row>
    <row r="354" customFormat="false" ht="11.25" hidden="false" customHeight="true" outlineLevel="0" collapsed="false">
      <c r="A354" s="83"/>
      <c r="B354" s="84"/>
      <c r="C354" s="85"/>
      <c r="D354" s="93"/>
      <c r="E354" s="85"/>
      <c r="F354" s="88"/>
      <c r="G354" s="89"/>
      <c r="H354" s="89"/>
      <c r="I354" s="89"/>
      <c r="J354" s="89"/>
      <c r="K354" s="90"/>
      <c r="L354" s="91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92"/>
      <c r="AD354" s="2"/>
      <c r="AE354" s="2"/>
      <c r="AF354" s="2"/>
      <c r="AG354" s="2"/>
      <c r="AH354" s="2"/>
      <c r="AI354" s="2"/>
      <c r="AJ354" s="2"/>
      <c r="AK354" s="2"/>
      <c r="AL354" s="54"/>
      <c r="AM354" s="54"/>
      <c r="AN354" s="54"/>
      <c r="AO354" s="54"/>
    </row>
    <row r="355" customFormat="false" ht="11.25" hidden="false" customHeight="true" outlineLevel="0" collapsed="false">
      <c r="A355" s="83"/>
      <c r="B355" s="84"/>
      <c r="C355" s="85"/>
      <c r="D355" s="93"/>
      <c r="E355" s="85"/>
      <c r="F355" s="88"/>
      <c r="G355" s="89"/>
      <c r="H355" s="89"/>
      <c r="I355" s="89"/>
      <c r="J355" s="89"/>
      <c r="K355" s="90"/>
      <c r="L355" s="91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92"/>
      <c r="AD355" s="2"/>
      <c r="AE355" s="2"/>
      <c r="AF355" s="2"/>
      <c r="AG355" s="2"/>
      <c r="AH355" s="2"/>
      <c r="AI355" s="2"/>
      <c r="AJ355" s="2"/>
      <c r="AK355" s="2"/>
      <c r="AL355" s="54"/>
      <c r="AM355" s="54"/>
      <c r="AN355" s="54"/>
      <c r="AO355" s="54"/>
    </row>
    <row r="356" customFormat="false" ht="11.25" hidden="false" customHeight="true" outlineLevel="0" collapsed="false">
      <c r="A356" s="83"/>
      <c r="B356" s="84"/>
      <c r="C356" s="85"/>
      <c r="D356" s="93"/>
      <c r="E356" s="85"/>
      <c r="F356" s="88"/>
      <c r="G356" s="89"/>
      <c r="H356" s="89"/>
      <c r="I356" s="89"/>
      <c r="J356" s="89"/>
      <c r="K356" s="90"/>
      <c r="L356" s="91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92"/>
      <c r="AD356" s="2"/>
      <c r="AE356" s="2"/>
      <c r="AF356" s="2"/>
      <c r="AG356" s="2"/>
      <c r="AH356" s="2"/>
      <c r="AI356" s="2"/>
      <c r="AJ356" s="2"/>
      <c r="AK356" s="2"/>
      <c r="AL356" s="54"/>
      <c r="AM356" s="54"/>
      <c r="AN356" s="54"/>
      <c r="AO356" s="54"/>
    </row>
    <row r="357" customFormat="false" ht="11.25" hidden="false" customHeight="true" outlineLevel="0" collapsed="false">
      <c r="A357" s="83"/>
      <c r="B357" s="84"/>
      <c r="C357" s="85"/>
      <c r="D357" s="93"/>
      <c r="E357" s="85"/>
      <c r="F357" s="88"/>
      <c r="G357" s="89"/>
      <c r="H357" s="89"/>
      <c r="I357" s="89"/>
      <c r="J357" s="89"/>
      <c r="K357" s="90"/>
      <c r="L357" s="91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92"/>
      <c r="AD357" s="2"/>
      <c r="AE357" s="2"/>
      <c r="AF357" s="2"/>
      <c r="AG357" s="2"/>
      <c r="AH357" s="2"/>
      <c r="AI357" s="2"/>
      <c r="AJ357" s="2"/>
      <c r="AK357" s="2"/>
      <c r="AL357" s="54"/>
      <c r="AM357" s="54"/>
      <c r="AN357" s="54"/>
      <c r="AO357" s="54"/>
    </row>
    <row r="358" customFormat="false" ht="11.25" hidden="false" customHeight="true" outlineLevel="0" collapsed="false">
      <c r="A358" s="83"/>
      <c r="B358" s="84"/>
      <c r="C358" s="85"/>
      <c r="D358" s="93"/>
      <c r="E358" s="85"/>
      <c r="F358" s="88"/>
      <c r="G358" s="89"/>
      <c r="H358" s="89"/>
      <c r="I358" s="89"/>
      <c r="J358" s="89"/>
      <c r="K358" s="90"/>
      <c r="L358" s="91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92"/>
      <c r="AD358" s="2"/>
      <c r="AE358" s="2"/>
      <c r="AF358" s="2"/>
      <c r="AG358" s="2"/>
      <c r="AH358" s="2"/>
      <c r="AI358" s="2"/>
      <c r="AJ358" s="2"/>
      <c r="AK358" s="2"/>
      <c r="AL358" s="54"/>
      <c r="AM358" s="54"/>
      <c r="AN358" s="54"/>
      <c r="AO358" s="54"/>
    </row>
    <row r="359" customFormat="false" ht="11.25" hidden="false" customHeight="true" outlineLevel="0" collapsed="false">
      <c r="A359" s="83"/>
      <c r="B359" s="84"/>
      <c r="C359" s="85"/>
      <c r="D359" s="93"/>
      <c r="E359" s="85"/>
      <c r="F359" s="88"/>
      <c r="G359" s="89"/>
      <c r="H359" s="89"/>
      <c r="I359" s="89"/>
      <c r="J359" s="89"/>
      <c r="K359" s="90"/>
      <c r="L359" s="91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92"/>
      <c r="AD359" s="2"/>
      <c r="AE359" s="2"/>
      <c r="AF359" s="2"/>
      <c r="AG359" s="2"/>
      <c r="AH359" s="2"/>
      <c r="AI359" s="2"/>
      <c r="AJ359" s="2"/>
      <c r="AK359" s="2"/>
      <c r="AL359" s="54"/>
      <c r="AM359" s="54"/>
      <c r="AN359" s="54"/>
      <c r="AO359" s="54"/>
    </row>
    <row r="360" customFormat="false" ht="11.25" hidden="false" customHeight="true" outlineLevel="0" collapsed="false">
      <c r="A360" s="83"/>
      <c r="B360" s="84"/>
      <c r="C360" s="85"/>
      <c r="D360" s="93"/>
      <c r="E360" s="85"/>
      <c r="F360" s="88"/>
      <c r="G360" s="89"/>
      <c r="H360" s="89"/>
      <c r="I360" s="89"/>
      <c r="J360" s="89"/>
      <c r="K360" s="90"/>
      <c r="L360" s="91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92"/>
      <c r="AD360" s="2"/>
      <c r="AE360" s="2"/>
      <c r="AF360" s="2"/>
      <c r="AG360" s="2"/>
      <c r="AH360" s="2"/>
      <c r="AI360" s="2"/>
      <c r="AJ360" s="2"/>
      <c r="AK360" s="2"/>
      <c r="AL360" s="54"/>
      <c r="AM360" s="54"/>
      <c r="AN360" s="54"/>
      <c r="AO360" s="54"/>
    </row>
    <row r="361" customFormat="false" ht="11.25" hidden="false" customHeight="true" outlineLevel="0" collapsed="false">
      <c r="A361" s="83"/>
      <c r="B361" s="84"/>
      <c r="C361" s="85"/>
      <c r="D361" s="93"/>
      <c r="E361" s="85"/>
      <c r="F361" s="88"/>
      <c r="G361" s="89"/>
      <c r="H361" s="89"/>
      <c r="I361" s="89"/>
      <c r="J361" s="89"/>
      <c r="K361" s="90"/>
      <c r="L361" s="91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92"/>
      <c r="AD361" s="2"/>
      <c r="AE361" s="2"/>
      <c r="AF361" s="2"/>
      <c r="AG361" s="2"/>
      <c r="AH361" s="2"/>
      <c r="AI361" s="2"/>
      <c r="AJ361" s="2"/>
      <c r="AK361" s="2"/>
      <c r="AL361" s="54"/>
      <c r="AM361" s="54"/>
      <c r="AN361" s="54"/>
      <c r="AO361" s="54"/>
    </row>
    <row r="362" customFormat="false" ht="11.25" hidden="false" customHeight="true" outlineLevel="0" collapsed="false">
      <c r="A362" s="83"/>
      <c r="B362" s="84"/>
      <c r="C362" s="85"/>
      <c r="D362" s="93"/>
      <c r="E362" s="85"/>
      <c r="F362" s="88"/>
      <c r="G362" s="89"/>
      <c r="H362" s="89"/>
      <c r="I362" s="89"/>
      <c r="J362" s="89"/>
      <c r="K362" s="90"/>
      <c r="L362" s="91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92"/>
      <c r="AD362" s="2"/>
      <c r="AE362" s="2"/>
      <c r="AF362" s="2"/>
      <c r="AG362" s="2"/>
      <c r="AH362" s="2"/>
      <c r="AI362" s="2"/>
      <c r="AJ362" s="2"/>
      <c r="AK362" s="2"/>
      <c r="AL362" s="54"/>
      <c r="AM362" s="54"/>
      <c r="AN362" s="54"/>
      <c r="AO362" s="54"/>
    </row>
    <row r="363" customFormat="false" ht="11.25" hidden="false" customHeight="true" outlineLevel="0" collapsed="false">
      <c r="A363" s="83"/>
      <c r="B363" s="84"/>
      <c r="C363" s="85"/>
      <c r="D363" s="93"/>
      <c r="E363" s="85"/>
      <c r="F363" s="88"/>
      <c r="G363" s="89"/>
      <c r="H363" s="89"/>
      <c r="I363" s="89"/>
      <c r="J363" s="89"/>
      <c r="K363" s="90"/>
      <c r="L363" s="91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92"/>
      <c r="AD363" s="2"/>
      <c r="AE363" s="2"/>
      <c r="AF363" s="2"/>
      <c r="AG363" s="2"/>
      <c r="AH363" s="2"/>
      <c r="AI363" s="2"/>
      <c r="AJ363" s="2"/>
      <c r="AK363" s="2"/>
      <c r="AL363" s="54"/>
      <c r="AM363" s="54"/>
      <c r="AN363" s="54"/>
      <c r="AO363" s="54"/>
    </row>
    <row r="364" customFormat="false" ht="11.25" hidden="false" customHeight="true" outlineLevel="0" collapsed="false">
      <c r="A364" s="83"/>
      <c r="B364" s="84"/>
      <c r="C364" s="85"/>
      <c r="D364" s="93"/>
      <c r="E364" s="85"/>
      <c r="F364" s="88"/>
      <c r="G364" s="89"/>
      <c r="H364" s="89"/>
      <c r="I364" s="89"/>
      <c r="J364" s="89"/>
      <c r="K364" s="90"/>
      <c r="L364" s="91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92"/>
      <c r="AD364" s="2"/>
      <c r="AE364" s="2"/>
      <c r="AF364" s="2"/>
      <c r="AG364" s="2"/>
      <c r="AH364" s="2"/>
      <c r="AI364" s="2"/>
      <c r="AJ364" s="2"/>
      <c r="AK364" s="2"/>
      <c r="AL364" s="54"/>
      <c r="AM364" s="54"/>
      <c r="AN364" s="54"/>
      <c r="AO364" s="54"/>
    </row>
    <row r="365" customFormat="false" ht="11.25" hidden="false" customHeight="true" outlineLevel="0" collapsed="false">
      <c r="A365" s="83"/>
      <c r="B365" s="84"/>
      <c r="C365" s="85"/>
      <c r="D365" s="93"/>
      <c r="E365" s="85"/>
      <c r="F365" s="88"/>
      <c r="G365" s="89"/>
      <c r="H365" s="89"/>
      <c r="I365" s="89"/>
      <c r="J365" s="89"/>
      <c r="K365" s="90"/>
      <c r="L365" s="91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92"/>
      <c r="AD365" s="2"/>
      <c r="AE365" s="2"/>
      <c r="AF365" s="2"/>
      <c r="AG365" s="2"/>
      <c r="AH365" s="2"/>
      <c r="AI365" s="2"/>
      <c r="AJ365" s="2"/>
      <c r="AK365" s="2"/>
      <c r="AL365" s="54"/>
      <c r="AM365" s="54"/>
      <c r="AN365" s="54"/>
      <c r="AO365" s="54"/>
    </row>
    <row r="366" customFormat="false" ht="11.25" hidden="false" customHeight="true" outlineLevel="0" collapsed="false">
      <c r="A366" s="83"/>
      <c r="B366" s="84"/>
      <c r="C366" s="85"/>
      <c r="D366" s="93"/>
      <c r="E366" s="85"/>
      <c r="F366" s="88"/>
      <c r="G366" s="89"/>
      <c r="H366" s="89"/>
      <c r="I366" s="89"/>
      <c r="J366" s="89"/>
      <c r="K366" s="90"/>
      <c r="L366" s="91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92"/>
      <c r="AD366" s="2"/>
      <c r="AE366" s="2"/>
      <c r="AF366" s="2"/>
      <c r="AG366" s="2"/>
      <c r="AH366" s="2"/>
      <c r="AI366" s="2"/>
      <c r="AJ366" s="2"/>
      <c r="AK366" s="2"/>
      <c r="AL366" s="54"/>
      <c r="AM366" s="54"/>
      <c r="AN366" s="54"/>
      <c r="AO366" s="54"/>
    </row>
    <row r="367" customFormat="false" ht="11.25" hidden="false" customHeight="true" outlineLevel="0" collapsed="false">
      <c r="A367" s="83"/>
      <c r="B367" s="84"/>
      <c r="C367" s="85"/>
      <c r="D367" s="93"/>
      <c r="E367" s="85"/>
      <c r="F367" s="88"/>
      <c r="G367" s="89"/>
      <c r="H367" s="89"/>
      <c r="I367" s="89"/>
      <c r="J367" s="89"/>
      <c r="K367" s="90"/>
      <c r="L367" s="91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92"/>
      <c r="AD367" s="2"/>
      <c r="AE367" s="2"/>
      <c r="AF367" s="2"/>
      <c r="AG367" s="2"/>
      <c r="AH367" s="2"/>
      <c r="AI367" s="2"/>
      <c r="AJ367" s="2"/>
      <c r="AK367" s="2"/>
      <c r="AL367" s="54"/>
      <c r="AM367" s="54"/>
      <c r="AN367" s="54"/>
      <c r="AO367" s="54"/>
    </row>
    <row r="368" customFormat="false" ht="11.25" hidden="false" customHeight="true" outlineLevel="0" collapsed="false">
      <c r="A368" s="83"/>
      <c r="B368" s="84"/>
      <c r="C368" s="85"/>
      <c r="D368" s="93"/>
      <c r="E368" s="85"/>
      <c r="F368" s="88"/>
      <c r="G368" s="89"/>
      <c r="H368" s="89"/>
      <c r="I368" s="89"/>
      <c r="J368" s="89"/>
      <c r="K368" s="90"/>
      <c r="L368" s="91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92"/>
      <c r="AD368" s="2"/>
      <c r="AE368" s="2"/>
      <c r="AF368" s="2"/>
      <c r="AG368" s="2"/>
      <c r="AH368" s="2"/>
      <c r="AI368" s="2"/>
      <c r="AJ368" s="2"/>
      <c r="AK368" s="2"/>
      <c r="AL368" s="54"/>
      <c r="AM368" s="54"/>
      <c r="AN368" s="54"/>
      <c r="AO368" s="54"/>
    </row>
    <row r="369" customFormat="false" ht="11.25" hidden="false" customHeight="true" outlineLevel="0" collapsed="false">
      <c r="A369" s="83"/>
      <c r="B369" s="84"/>
      <c r="C369" s="85"/>
      <c r="D369" s="93"/>
      <c r="E369" s="85"/>
      <c r="F369" s="88"/>
      <c r="G369" s="89"/>
      <c r="H369" s="89"/>
      <c r="I369" s="89"/>
      <c r="J369" s="89"/>
      <c r="K369" s="90"/>
      <c r="L369" s="91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92"/>
      <c r="AD369" s="2"/>
      <c r="AE369" s="2"/>
      <c r="AF369" s="2"/>
      <c r="AG369" s="2"/>
      <c r="AH369" s="2"/>
      <c r="AI369" s="2"/>
      <c r="AJ369" s="2"/>
      <c r="AK369" s="2"/>
      <c r="AL369" s="54"/>
      <c r="AM369" s="54"/>
      <c r="AN369" s="54"/>
      <c r="AO369" s="54"/>
    </row>
    <row r="370" customFormat="false" ht="11.25" hidden="false" customHeight="true" outlineLevel="0" collapsed="false">
      <c r="A370" s="83"/>
      <c r="B370" s="84"/>
      <c r="C370" s="85"/>
      <c r="D370" s="93"/>
      <c r="E370" s="85"/>
      <c r="F370" s="88"/>
      <c r="G370" s="89"/>
      <c r="H370" s="89"/>
      <c r="I370" s="89"/>
      <c r="J370" s="89"/>
      <c r="K370" s="90"/>
      <c r="L370" s="91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92"/>
      <c r="AD370" s="2"/>
      <c r="AE370" s="2"/>
      <c r="AF370" s="2"/>
      <c r="AG370" s="2"/>
      <c r="AH370" s="2"/>
      <c r="AI370" s="2"/>
      <c r="AJ370" s="2"/>
      <c r="AK370" s="2"/>
      <c r="AL370" s="54"/>
      <c r="AM370" s="54"/>
      <c r="AN370" s="54"/>
      <c r="AO370" s="54"/>
    </row>
    <row r="371" customFormat="false" ht="11.25" hidden="false" customHeight="true" outlineLevel="0" collapsed="false">
      <c r="A371" s="83"/>
      <c r="B371" s="84"/>
      <c r="C371" s="85"/>
      <c r="D371" s="93"/>
      <c r="E371" s="85"/>
      <c r="F371" s="88"/>
      <c r="G371" s="89"/>
      <c r="H371" s="89"/>
      <c r="I371" s="89"/>
      <c r="J371" s="89"/>
      <c r="K371" s="90"/>
      <c r="L371" s="91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92"/>
      <c r="AD371" s="2"/>
      <c r="AE371" s="2"/>
      <c r="AF371" s="2"/>
      <c r="AG371" s="2"/>
      <c r="AH371" s="2"/>
      <c r="AI371" s="2"/>
      <c r="AJ371" s="2"/>
      <c r="AK371" s="2"/>
      <c r="AL371" s="54"/>
      <c r="AM371" s="54"/>
      <c r="AN371" s="54"/>
      <c r="AO371" s="54"/>
    </row>
    <row r="372" customFormat="false" ht="11.25" hidden="false" customHeight="true" outlineLevel="0" collapsed="false">
      <c r="A372" s="83"/>
      <c r="B372" s="84"/>
      <c r="C372" s="85"/>
      <c r="D372" s="93"/>
      <c r="E372" s="85"/>
      <c r="F372" s="88"/>
      <c r="G372" s="89"/>
      <c r="H372" s="89"/>
      <c r="I372" s="89"/>
      <c r="J372" s="89"/>
      <c r="K372" s="90"/>
      <c r="L372" s="91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92"/>
      <c r="AD372" s="2"/>
      <c r="AE372" s="2"/>
      <c r="AF372" s="2"/>
      <c r="AG372" s="2"/>
      <c r="AH372" s="2"/>
      <c r="AI372" s="2"/>
      <c r="AJ372" s="2"/>
      <c r="AK372" s="2"/>
      <c r="AL372" s="54"/>
      <c r="AM372" s="54"/>
      <c r="AN372" s="54"/>
      <c r="AO372" s="54"/>
    </row>
    <row r="373" customFormat="false" ht="11.25" hidden="false" customHeight="true" outlineLevel="0" collapsed="false">
      <c r="A373" s="83"/>
      <c r="B373" s="84"/>
      <c r="C373" s="85"/>
      <c r="D373" s="93"/>
      <c r="E373" s="85"/>
      <c r="F373" s="88"/>
      <c r="G373" s="89"/>
      <c r="H373" s="89"/>
      <c r="I373" s="89"/>
      <c r="J373" s="89"/>
      <c r="K373" s="90"/>
      <c r="L373" s="91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92"/>
      <c r="AD373" s="2"/>
      <c r="AE373" s="2"/>
      <c r="AF373" s="2"/>
      <c r="AG373" s="2"/>
      <c r="AH373" s="2"/>
      <c r="AI373" s="2"/>
      <c r="AJ373" s="2"/>
      <c r="AK373" s="2"/>
      <c r="AL373" s="54"/>
      <c r="AM373" s="54"/>
      <c r="AN373" s="54"/>
      <c r="AO373" s="54"/>
    </row>
    <row r="374" customFormat="false" ht="11.25" hidden="false" customHeight="true" outlineLevel="0" collapsed="false">
      <c r="A374" s="83"/>
      <c r="B374" s="84"/>
      <c r="C374" s="85"/>
      <c r="D374" s="93"/>
      <c r="E374" s="85"/>
      <c r="F374" s="88"/>
      <c r="G374" s="89"/>
      <c r="H374" s="89"/>
      <c r="I374" s="89"/>
      <c r="J374" s="89"/>
      <c r="K374" s="90"/>
      <c r="L374" s="91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92"/>
      <c r="AD374" s="2"/>
      <c r="AE374" s="2"/>
      <c r="AF374" s="2"/>
      <c r="AG374" s="2"/>
      <c r="AH374" s="2"/>
      <c r="AI374" s="2"/>
      <c r="AJ374" s="2"/>
      <c r="AK374" s="2"/>
      <c r="AL374" s="54"/>
      <c r="AM374" s="54"/>
      <c r="AN374" s="54"/>
      <c r="AO374" s="54"/>
    </row>
    <row r="375" customFormat="false" ht="11.25" hidden="false" customHeight="true" outlineLevel="0" collapsed="false">
      <c r="A375" s="83"/>
      <c r="B375" s="84"/>
      <c r="C375" s="85"/>
      <c r="D375" s="93"/>
      <c r="E375" s="85"/>
      <c r="F375" s="88"/>
      <c r="G375" s="89"/>
      <c r="H375" s="89"/>
      <c r="I375" s="89"/>
      <c r="J375" s="89"/>
      <c r="K375" s="90"/>
      <c r="L375" s="91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92"/>
      <c r="AD375" s="2"/>
      <c r="AE375" s="2"/>
      <c r="AF375" s="2"/>
      <c r="AG375" s="2"/>
      <c r="AH375" s="2"/>
      <c r="AI375" s="2"/>
      <c r="AJ375" s="2"/>
      <c r="AK375" s="2"/>
      <c r="AL375" s="54"/>
      <c r="AM375" s="54"/>
      <c r="AN375" s="54"/>
      <c r="AO375" s="54"/>
    </row>
    <row r="376" customFormat="false" ht="11.25" hidden="false" customHeight="true" outlineLevel="0" collapsed="false">
      <c r="A376" s="83"/>
      <c r="B376" s="84"/>
      <c r="C376" s="85"/>
      <c r="D376" s="93"/>
      <c r="E376" s="85"/>
      <c r="F376" s="88"/>
      <c r="G376" s="89"/>
      <c r="H376" s="89"/>
      <c r="I376" s="89"/>
      <c r="J376" s="89"/>
      <c r="K376" s="90"/>
      <c r="L376" s="91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92"/>
      <c r="AD376" s="2"/>
      <c r="AE376" s="2"/>
      <c r="AF376" s="2"/>
      <c r="AG376" s="2"/>
      <c r="AH376" s="2"/>
      <c r="AI376" s="2"/>
      <c r="AJ376" s="2"/>
      <c r="AK376" s="2"/>
      <c r="AL376" s="54"/>
      <c r="AM376" s="54"/>
      <c r="AN376" s="54"/>
      <c r="AO376" s="54"/>
    </row>
    <row r="377" customFormat="false" ht="11.25" hidden="false" customHeight="true" outlineLevel="0" collapsed="false">
      <c r="A377" s="83"/>
      <c r="B377" s="84"/>
      <c r="C377" s="85"/>
      <c r="D377" s="93"/>
      <c r="E377" s="85"/>
      <c r="F377" s="88"/>
      <c r="G377" s="89"/>
      <c r="H377" s="89"/>
      <c r="I377" s="89"/>
      <c r="J377" s="89"/>
      <c r="K377" s="90"/>
      <c r="L377" s="91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92"/>
      <c r="AD377" s="2"/>
      <c r="AE377" s="2"/>
      <c r="AF377" s="2"/>
      <c r="AG377" s="2"/>
      <c r="AH377" s="2"/>
      <c r="AI377" s="2"/>
      <c r="AJ377" s="2"/>
      <c r="AK377" s="2"/>
      <c r="AL377" s="54"/>
      <c r="AM377" s="54"/>
      <c r="AN377" s="54"/>
      <c r="AO377" s="54"/>
    </row>
    <row r="378" customFormat="false" ht="11.25" hidden="false" customHeight="true" outlineLevel="0" collapsed="false">
      <c r="A378" s="83"/>
      <c r="B378" s="84"/>
      <c r="C378" s="85"/>
      <c r="D378" s="93"/>
      <c r="E378" s="85"/>
      <c r="F378" s="88"/>
      <c r="G378" s="89"/>
      <c r="H378" s="89"/>
      <c r="I378" s="89"/>
      <c r="J378" s="89"/>
      <c r="K378" s="90"/>
      <c r="L378" s="91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92"/>
      <c r="AD378" s="2"/>
      <c r="AE378" s="2"/>
      <c r="AF378" s="2"/>
      <c r="AG378" s="2"/>
      <c r="AH378" s="2"/>
      <c r="AI378" s="2"/>
      <c r="AJ378" s="2"/>
      <c r="AK378" s="2"/>
      <c r="AL378" s="54"/>
      <c r="AM378" s="54"/>
      <c r="AN378" s="54"/>
      <c r="AO378" s="54"/>
    </row>
    <row r="379" customFormat="false" ht="11.25" hidden="false" customHeight="true" outlineLevel="0" collapsed="false">
      <c r="A379" s="83"/>
      <c r="B379" s="84"/>
      <c r="C379" s="85"/>
      <c r="D379" s="93"/>
      <c r="E379" s="85"/>
      <c r="F379" s="88"/>
      <c r="G379" s="89"/>
      <c r="H379" s="89"/>
      <c r="I379" s="89"/>
      <c r="J379" s="89"/>
      <c r="K379" s="90"/>
      <c r="L379" s="91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92"/>
      <c r="AD379" s="2"/>
      <c r="AE379" s="2"/>
      <c r="AF379" s="2"/>
      <c r="AG379" s="2"/>
      <c r="AH379" s="2"/>
      <c r="AI379" s="2"/>
      <c r="AJ379" s="2"/>
      <c r="AK379" s="2"/>
      <c r="AL379" s="54"/>
      <c r="AM379" s="54"/>
      <c r="AN379" s="54"/>
      <c r="AO379" s="54"/>
    </row>
    <row r="380" customFormat="false" ht="11.25" hidden="false" customHeight="true" outlineLevel="0" collapsed="false">
      <c r="A380" s="83"/>
      <c r="B380" s="84"/>
      <c r="C380" s="85"/>
      <c r="D380" s="93"/>
      <c r="E380" s="85"/>
      <c r="F380" s="88"/>
      <c r="G380" s="89"/>
      <c r="H380" s="89"/>
      <c r="I380" s="89"/>
      <c r="J380" s="89"/>
      <c r="K380" s="90"/>
      <c r="L380" s="91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92"/>
      <c r="AD380" s="2"/>
      <c r="AE380" s="2"/>
      <c r="AF380" s="2"/>
      <c r="AG380" s="2"/>
      <c r="AH380" s="2"/>
      <c r="AI380" s="2"/>
      <c r="AJ380" s="2"/>
      <c r="AK380" s="2"/>
      <c r="AL380" s="54"/>
      <c r="AM380" s="54"/>
      <c r="AN380" s="54"/>
      <c r="AO380" s="54"/>
    </row>
    <row r="381" customFormat="false" ht="11.25" hidden="false" customHeight="true" outlineLevel="0" collapsed="false">
      <c r="A381" s="83"/>
      <c r="B381" s="84"/>
      <c r="C381" s="85"/>
      <c r="D381" s="93"/>
      <c r="E381" s="85"/>
      <c r="F381" s="88"/>
      <c r="G381" s="89"/>
      <c r="H381" s="89"/>
      <c r="I381" s="89"/>
      <c r="J381" s="89"/>
      <c r="K381" s="90"/>
      <c r="L381" s="91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92"/>
      <c r="AD381" s="2"/>
      <c r="AE381" s="2"/>
      <c r="AF381" s="2"/>
      <c r="AG381" s="2"/>
      <c r="AH381" s="2"/>
      <c r="AI381" s="2"/>
      <c r="AJ381" s="2"/>
      <c r="AK381" s="2"/>
      <c r="AL381" s="54"/>
      <c r="AM381" s="54"/>
      <c r="AN381" s="54"/>
      <c r="AO381" s="54"/>
    </row>
    <row r="382" customFormat="false" ht="11.25" hidden="false" customHeight="true" outlineLevel="0" collapsed="false">
      <c r="A382" s="83"/>
      <c r="B382" s="84"/>
      <c r="C382" s="85"/>
      <c r="D382" s="93"/>
      <c r="E382" s="85"/>
      <c r="F382" s="88"/>
      <c r="G382" s="89"/>
      <c r="H382" s="89"/>
      <c r="I382" s="89"/>
      <c r="J382" s="89"/>
      <c r="K382" s="90"/>
      <c r="L382" s="91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92"/>
      <c r="AD382" s="2"/>
      <c r="AE382" s="2"/>
      <c r="AF382" s="2"/>
      <c r="AG382" s="2"/>
      <c r="AH382" s="2"/>
      <c r="AI382" s="2"/>
      <c r="AJ382" s="2"/>
      <c r="AK382" s="2"/>
      <c r="AL382" s="54"/>
      <c r="AM382" s="54"/>
      <c r="AN382" s="54"/>
      <c r="AO382" s="54"/>
    </row>
    <row r="383" customFormat="false" ht="11.25" hidden="false" customHeight="true" outlineLevel="0" collapsed="false">
      <c r="A383" s="83"/>
      <c r="B383" s="84"/>
      <c r="C383" s="85"/>
      <c r="D383" s="93"/>
      <c r="E383" s="85"/>
      <c r="F383" s="88"/>
      <c r="G383" s="89"/>
      <c r="H383" s="89"/>
      <c r="I383" s="89"/>
      <c r="J383" s="89"/>
      <c r="K383" s="90"/>
      <c r="L383" s="91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92"/>
      <c r="AD383" s="2"/>
      <c r="AE383" s="2"/>
      <c r="AF383" s="2"/>
      <c r="AG383" s="2"/>
      <c r="AH383" s="2"/>
      <c r="AI383" s="2"/>
      <c r="AJ383" s="2"/>
      <c r="AK383" s="2"/>
      <c r="AL383" s="54"/>
      <c r="AM383" s="54"/>
      <c r="AN383" s="54"/>
      <c r="AO383" s="54"/>
    </row>
    <row r="384" customFormat="false" ht="11.25" hidden="false" customHeight="true" outlineLevel="0" collapsed="false">
      <c r="A384" s="83"/>
      <c r="B384" s="84"/>
      <c r="C384" s="85"/>
      <c r="D384" s="93"/>
      <c r="E384" s="85"/>
      <c r="F384" s="88"/>
      <c r="G384" s="89"/>
      <c r="H384" s="89"/>
      <c r="I384" s="89"/>
      <c r="J384" s="89"/>
      <c r="K384" s="90"/>
      <c r="L384" s="91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92"/>
      <c r="AD384" s="2"/>
      <c r="AE384" s="2"/>
      <c r="AF384" s="2"/>
      <c r="AG384" s="2"/>
      <c r="AH384" s="2"/>
      <c r="AI384" s="2"/>
      <c r="AJ384" s="2"/>
      <c r="AK384" s="2"/>
      <c r="AL384" s="54"/>
      <c r="AM384" s="54"/>
      <c r="AN384" s="54"/>
      <c r="AO384" s="54"/>
    </row>
    <row r="385" customFormat="false" ht="11.25" hidden="false" customHeight="true" outlineLevel="0" collapsed="false">
      <c r="A385" s="83"/>
      <c r="B385" s="84"/>
      <c r="C385" s="85"/>
      <c r="D385" s="93"/>
      <c r="E385" s="85"/>
      <c r="F385" s="88"/>
      <c r="G385" s="89"/>
      <c r="H385" s="89"/>
      <c r="I385" s="89"/>
      <c r="J385" s="89"/>
      <c r="K385" s="90"/>
      <c r="L385" s="91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92"/>
      <c r="AD385" s="2"/>
      <c r="AE385" s="2"/>
      <c r="AF385" s="2"/>
      <c r="AG385" s="2"/>
      <c r="AH385" s="2"/>
      <c r="AI385" s="2"/>
      <c r="AJ385" s="2"/>
      <c r="AK385" s="2"/>
      <c r="AL385" s="54"/>
      <c r="AM385" s="54"/>
      <c r="AN385" s="54"/>
      <c r="AO385" s="54"/>
    </row>
    <row r="386" customFormat="false" ht="11.25" hidden="false" customHeight="true" outlineLevel="0" collapsed="false">
      <c r="A386" s="83"/>
      <c r="B386" s="84"/>
      <c r="C386" s="85"/>
      <c r="D386" s="93"/>
      <c r="E386" s="85"/>
      <c r="F386" s="88"/>
      <c r="G386" s="89"/>
      <c r="H386" s="89"/>
      <c r="I386" s="89"/>
      <c r="J386" s="89"/>
      <c r="K386" s="90"/>
      <c r="L386" s="91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92"/>
      <c r="AD386" s="2"/>
      <c r="AE386" s="2"/>
      <c r="AF386" s="2"/>
      <c r="AG386" s="2"/>
      <c r="AH386" s="2"/>
      <c r="AI386" s="2"/>
      <c r="AJ386" s="2"/>
      <c r="AK386" s="2"/>
      <c r="AL386" s="54"/>
      <c r="AM386" s="54"/>
      <c r="AN386" s="54"/>
      <c r="AO386" s="54"/>
    </row>
    <row r="387" customFormat="false" ht="11.25" hidden="false" customHeight="true" outlineLevel="0" collapsed="false">
      <c r="A387" s="83"/>
      <c r="B387" s="84"/>
      <c r="C387" s="85"/>
      <c r="D387" s="93"/>
      <c r="E387" s="85"/>
      <c r="F387" s="88"/>
      <c r="G387" s="89"/>
      <c r="H387" s="89"/>
      <c r="I387" s="89"/>
      <c r="J387" s="89"/>
      <c r="K387" s="90"/>
      <c r="L387" s="91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92"/>
      <c r="AD387" s="2"/>
      <c r="AE387" s="2"/>
      <c r="AF387" s="2"/>
      <c r="AG387" s="2"/>
      <c r="AH387" s="2"/>
      <c r="AI387" s="2"/>
      <c r="AJ387" s="2"/>
      <c r="AK387" s="2"/>
      <c r="AL387" s="54"/>
      <c r="AM387" s="54"/>
      <c r="AN387" s="54"/>
      <c r="AO387" s="54"/>
    </row>
    <row r="388" customFormat="false" ht="11.25" hidden="false" customHeight="true" outlineLevel="0" collapsed="false">
      <c r="A388" s="83"/>
      <c r="B388" s="84"/>
      <c r="C388" s="85"/>
      <c r="D388" s="93"/>
      <c r="E388" s="85"/>
      <c r="F388" s="88"/>
      <c r="G388" s="89"/>
      <c r="H388" s="89"/>
      <c r="I388" s="89"/>
      <c r="J388" s="89"/>
      <c r="K388" s="90"/>
      <c r="L388" s="91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92"/>
      <c r="AD388" s="2"/>
      <c r="AE388" s="2"/>
      <c r="AF388" s="2"/>
      <c r="AG388" s="2"/>
      <c r="AH388" s="2"/>
      <c r="AI388" s="2"/>
      <c r="AJ388" s="2"/>
      <c r="AK388" s="2"/>
      <c r="AL388" s="54"/>
      <c r="AM388" s="54"/>
      <c r="AN388" s="54"/>
      <c r="AO388" s="54"/>
    </row>
    <row r="389" customFormat="false" ht="11.25" hidden="false" customHeight="true" outlineLevel="0" collapsed="false">
      <c r="A389" s="83"/>
      <c r="B389" s="84"/>
      <c r="C389" s="85"/>
      <c r="D389" s="93"/>
      <c r="E389" s="85"/>
      <c r="F389" s="88"/>
      <c r="G389" s="89"/>
      <c r="H389" s="89"/>
      <c r="I389" s="89"/>
      <c r="J389" s="89"/>
      <c r="K389" s="90"/>
      <c r="L389" s="91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92"/>
      <c r="AD389" s="2"/>
      <c r="AE389" s="2"/>
      <c r="AF389" s="2"/>
      <c r="AG389" s="2"/>
      <c r="AH389" s="2"/>
      <c r="AI389" s="2"/>
      <c r="AJ389" s="2"/>
      <c r="AK389" s="2"/>
      <c r="AL389" s="54"/>
      <c r="AM389" s="54"/>
      <c r="AN389" s="54"/>
      <c r="AO389" s="54"/>
    </row>
    <row r="390" customFormat="false" ht="11.25" hidden="false" customHeight="true" outlineLevel="0" collapsed="false">
      <c r="A390" s="83"/>
      <c r="B390" s="84"/>
      <c r="C390" s="85"/>
      <c r="D390" s="93"/>
      <c r="E390" s="85"/>
      <c r="F390" s="88"/>
      <c r="G390" s="89"/>
      <c r="H390" s="89"/>
      <c r="I390" s="89"/>
      <c r="J390" s="89"/>
      <c r="K390" s="90"/>
      <c r="L390" s="91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92"/>
      <c r="AD390" s="2"/>
      <c r="AE390" s="2"/>
      <c r="AF390" s="2"/>
      <c r="AG390" s="2"/>
      <c r="AH390" s="2"/>
      <c r="AI390" s="2"/>
      <c r="AJ390" s="2"/>
      <c r="AK390" s="2"/>
      <c r="AL390" s="54"/>
      <c r="AM390" s="54"/>
      <c r="AN390" s="54"/>
      <c r="AO390" s="54"/>
    </row>
    <row r="391" customFormat="false" ht="11.25" hidden="false" customHeight="true" outlineLevel="0" collapsed="false">
      <c r="A391" s="83"/>
      <c r="B391" s="84"/>
      <c r="C391" s="85"/>
      <c r="D391" s="93"/>
      <c r="E391" s="85"/>
      <c r="F391" s="88"/>
      <c r="G391" s="89"/>
      <c r="H391" s="89"/>
      <c r="I391" s="89"/>
      <c r="J391" s="89"/>
      <c r="K391" s="90"/>
      <c r="L391" s="91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92"/>
      <c r="AD391" s="2"/>
      <c r="AE391" s="2"/>
      <c r="AF391" s="2"/>
      <c r="AG391" s="2"/>
      <c r="AH391" s="2"/>
      <c r="AI391" s="2"/>
      <c r="AJ391" s="2"/>
      <c r="AK391" s="2"/>
      <c r="AL391" s="54"/>
      <c r="AM391" s="54"/>
      <c r="AN391" s="54"/>
      <c r="AO391" s="54"/>
    </row>
    <row r="392" customFormat="false" ht="11.25" hidden="false" customHeight="true" outlineLevel="0" collapsed="false">
      <c r="A392" s="83"/>
      <c r="B392" s="84"/>
      <c r="C392" s="85"/>
      <c r="D392" s="93"/>
      <c r="E392" s="85"/>
      <c r="F392" s="88"/>
      <c r="G392" s="89"/>
      <c r="H392" s="89"/>
      <c r="I392" s="89"/>
      <c r="J392" s="89"/>
      <c r="K392" s="90"/>
      <c r="L392" s="91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92"/>
      <c r="AD392" s="2"/>
      <c r="AE392" s="2"/>
      <c r="AF392" s="2"/>
      <c r="AG392" s="2"/>
      <c r="AH392" s="2"/>
      <c r="AI392" s="2"/>
      <c r="AJ392" s="2"/>
      <c r="AK392" s="2"/>
      <c r="AL392" s="54"/>
      <c r="AM392" s="54"/>
      <c r="AN392" s="54"/>
      <c r="AO392" s="54"/>
    </row>
    <row r="393" customFormat="false" ht="11.25" hidden="false" customHeight="true" outlineLevel="0" collapsed="false">
      <c r="A393" s="83"/>
      <c r="B393" s="84"/>
      <c r="C393" s="85"/>
      <c r="D393" s="93"/>
      <c r="E393" s="85"/>
      <c r="F393" s="88"/>
      <c r="G393" s="89"/>
      <c r="H393" s="89"/>
      <c r="I393" s="89"/>
      <c r="J393" s="89"/>
      <c r="K393" s="90"/>
      <c r="L393" s="91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92"/>
      <c r="AD393" s="2"/>
      <c r="AE393" s="2"/>
      <c r="AF393" s="2"/>
      <c r="AG393" s="2"/>
      <c r="AH393" s="2"/>
      <c r="AI393" s="2"/>
      <c r="AJ393" s="2"/>
      <c r="AK393" s="2"/>
      <c r="AL393" s="54"/>
      <c r="AM393" s="54"/>
      <c r="AN393" s="54"/>
      <c r="AO393" s="54"/>
    </row>
    <row r="394" customFormat="false" ht="11.25" hidden="false" customHeight="true" outlineLevel="0" collapsed="false">
      <c r="A394" s="83"/>
      <c r="B394" s="84"/>
      <c r="C394" s="85"/>
      <c r="D394" s="93"/>
      <c r="E394" s="85"/>
      <c r="F394" s="88"/>
      <c r="G394" s="89"/>
      <c r="H394" s="89"/>
      <c r="I394" s="89"/>
      <c r="J394" s="89"/>
      <c r="K394" s="90"/>
      <c r="L394" s="91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92"/>
      <c r="AD394" s="2"/>
      <c r="AE394" s="2"/>
      <c r="AF394" s="2"/>
      <c r="AG394" s="2"/>
      <c r="AH394" s="2"/>
      <c r="AI394" s="2"/>
      <c r="AJ394" s="2"/>
      <c r="AK394" s="2"/>
      <c r="AL394" s="54"/>
      <c r="AM394" s="54"/>
      <c r="AN394" s="54"/>
      <c r="AO394" s="54"/>
    </row>
    <row r="395" customFormat="false" ht="11.25" hidden="false" customHeight="true" outlineLevel="0" collapsed="false">
      <c r="A395" s="83"/>
      <c r="B395" s="84"/>
      <c r="C395" s="85"/>
      <c r="D395" s="93"/>
      <c r="E395" s="85"/>
      <c r="F395" s="88"/>
      <c r="G395" s="89"/>
      <c r="H395" s="89"/>
      <c r="I395" s="89"/>
      <c r="J395" s="89"/>
      <c r="K395" s="90"/>
      <c r="L395" s="91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92"/>
      <c r="AD395" s="2"/>
      <c r="AE395" s="2"/>
      <c r="AF395" s="2"/>
      <c r="AG395" s="2"/>
      <c r="AH395" s="2"/>
      <c r="AI395" s="2"/>
      <c r="AJ395" s="2"/>
      <c r="AK395" s="2"/>
      <c r="AL395" s="54"/>
      <c r="AM395" s="54"/>
      <c r="AN395" s="54"/>
      <c r="AO395" s="54"/>
    </row>
    <row r="396" customFormat="false" ht="11.25" hidden="false" customHeight="true" outlineLevel="0" collapsed="false">
      <c r="A396" s="83"/>
      <c r="B396" s="84"/>
      <c r="C396" s="85"/>
      <c r="D396" s="93"/>
      <c r="E396" s="85"/>
      <c r="F396" s="88"/>
      <c r="G396" s="89"/>
      <c r="H396" s="89"/>
      <c r="I396" s="89"/>
      <c r="J396" s="89"/>
      <c r="K396" s="90"/>
      <c r="L396" s="91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92"/>
      <c r="AD396" s="2"/>
      <c r="AE396" s="2"/>
      <c r="AF396" s="2"/>
      <c r="AG396" s="2"/>
      <c r="AH396" s="2"/>
      <c r="AI396" s="2"/>
      <c r="AJ396" s="2"/>
      <c r="AK396" s="2"/>
      <c r="AL396" s="54"/>
      <c r="AM396" s="54"/>
      <c r="AN396" s="54"/>
      <c r="AO396" s="54"/>
    </row>
    <row r="397" customFormat="false" ht="11.25" hidden="false" customHeight="true" outlineLevel="0" collapsed="false">
      <c r="A397" s="83"/>
      <c r="B397" s="84"/>
      <c r="C397" s="85"/>
      <c r="D397" s="93"/>
      <c r="E397" s="85"/>
      <c r="F397" s="88"/>
      <c r="G397" s="89"/>
      <c r="H397" s="89"/>
      <c r="I397" s="89"/>
      <c r="J397" s="89"/>
      <c r="K397" s="90"/>
      <c r="L397" s="91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92"/>
      <c r="AD397" s="2"/>
      <c r="AE397" s="2"/>
      <c r="AF397" s="2"/>
      <c r="AG397" s="2"/>
      <c r="AH397" s="2"/>
      <c r="AI397" s="2"/>
      <c r="AJ397" s="2"/>
      <c r="AK397" s="2"/>
      <c r="AL397" s="54"/>
      <c r="AM397" s="54"/>
      <c r="AN397" s="54"/>
      <c r="AO397" s="54"/>
    </row>
    <row r="398" customFormat="false" ht="11.25" hidden="false" customHeight="true" outlineLevel="0" collapsed="false">
      <c r="A398" s="83"/>
      <c r="B398" s="84"/>
      <c r="C398" s="85"/>
      <c r="D398" s="93"/>
      <c r="E398" s="85"/>
      <c r="F398" s="88"/>
      <c r="G398" s="89"/>
      <c r="H398" s="89"/>
      <c r="I398" s="89"/>
      <c r="J398" s="89"/>
      <c r="K398" s="90"/>
      <c r="L398" s="91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92"/>
      <c r="AD398" s="2"/>
      <c r="AE398" s="2"/>
      <c r="AF398" s="2"/>
      <c r="AG398" s="2"/>
      <c r="AH398" s="2"/>
      <c r="AI398" s="2"/>
      <c r="AJ398" s="2"/>
      <c r="AK398" s="2"/>
      <c r="AL398" s="54"/>
      <c r="AM398" s="54"/>
      <c r="AN398" s="54"/>
      <c r="AO398" s="54"/>
    </row>
    <row r="399" customFormat="false" ht="11.25" hidden="false" customHeight="true" outlineLevel="0" collapsed="false">
      <c r="A399" s="83"/>
      <c r="B399" s="84"/>
      <c r="C399" s="85"/>
      <c r="D399" s="93"/>
      <c r="E399" s="85"/>
      <c r="F399" s="88"/>
      <c r="G399" s="89"/>
      <c r="H399" s="89"/>
      <c r="I399" s="89"/>
      <c r="J399" s="89"/>
      <c r="K399" s="90"/>
      <c r="L399" s="91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92"/>
      <c r="AD399" s="2"/>
      <c r="AE399" s="2"/>
      <c r="AF399" s="2"/>
      <c r="AG399" s="2"/>
      <c r="AH399" s="2"/>
      <c r="AI399" s="2"/>
      <c r="AJ399" s="2"/>
      <c r="AK399" s="2"/>
      <c r="AL399" s="54"/>
      <c r="AM399" s="54"/>
      <c r="AN399" s="54"/>
      <c r="AO399" s="54"/>
    </row>
    <row r="400" customFormat="false" ht="11.25" hidden="false" customHeight="true" outlineLevel="0" collapsed="false">
      <c r="A400" s="83"/>
      <c r="B400" s="84"/>
      <c r="C400" s="85"/>
      <c r="D400" s="93"/>
      <c r="E400" s="85"/>
      <c r="F400" s="88"/>
      <c r="G400" s="89"/>
      <c r="H400" s="89"/>
      <c r="I400" s="89"/>
      <c r="J400" s="89"/>
      <c r="K400" s="90"/>
      <c r="L400" s="91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92"/>
      <c r="AD400" s="2"/>
      <c r="AE400" s="2"/>
      <c r="AF400" s="2"/>
      <c r="AG400" s="2"/>
      <c r="AH400" s="2"/>
      <c r="AI400" s="2"/>
      <c r="AJ400" s="2"/>
      <c r="AK400" s="2"/>
      <c r="AL400" s="54"/>
      <c r="AM400" s="54"/>
      <c r="AN400" s="54"/>
      <c r="AO400" s="54"/>
    </row>
    <row r="401" customFormat="false" ht="11.25" hidden="false" customHeight="true" outlineLevel="0" collapsed="false">
      <c r="A401" s="83"/>
      <c r="B401" s="84"/>
      <c r="C401" s="85"/>
      <c r="D401" s="93"/>
      <c r="E401" s="85"/>
      <c r="F401" s="88"/>
      <c r="G401" s="89"/>
      <c r="H401" s="89"/>
      <c r="I401" s="89"/>
      <c r="J401" s="89"/>
      <c r="K401" s="90"/>
      <c r="L401" s="91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92"/>
      <c r="AD401" s="2"/>
      <c r="AE401" s="2"/>
      <c r="AF401" s="2"/>
      <c r="AG401" s="2"/>
      <c r="AH401" s="2"/>
      <c r="AI401" s="2"/>
      <c r="AJ401" s="2"/>
      <c r="AK401" s="2"/>
      <c r="AL401" s="54"/>
      <c r="AM401" s="54"/>
      <c r="AN401" s="54"/>
      <c r="AO401" s="54"/>
    </row>
    <row r="402" customFormat="false" ht="11.25" hidden="false" customHeight="true" outlineLevel="0" collapsed="false">
      <c r="A402" s="83"/>
      <c r="B402" s="84"/>
      <c r="C402" s="85"/>
      <c r="D402" s="93"/>
      <c r="E402" s="85"/>
      <c r="F402" s="88"/>
      <c r="G402" s="89"/>
      <c r="H402" s="89"/>
      <c r="I402" s="89"/>
      <c r="J402" s="89"/>
      <c r="K402" s="90"/>
      <c r="L402" s="91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92"/>
      <c r="AD402" s="2"/>
      <c r="AE402" s="2"/>
      <c r="AF402" s="2"/>
      <c r="AG402" s="2"/>
      <c r="AH402" s="2"/>
      <c r="AI402" s="2"/>
      <c r="AJ402" s="2"/>
      <c r="AK402" s="2"/>
      <c r="AL402" s="54"/>
      <c r="AM402" s="54"/>
      <c r="AN402" s="54"/>
      <c r="AO402" s="54"/>
    </row>
    <row r="403" customFormat="false" ht="11.25" hidden="false" customHeight="true" outlineLevel="0" collapsed="false">
      <c r="A403" s="83"/>
      <c r="B403" s="84"/>
      <c r="C403" s="85"/>
      <c r="D403" s="93"/>
      <c r="E403" s="85"/>
      <c r="F403" s="88"/>
      <c r="G403" s="89"/>
      <c r="H403" s="89"/>
      <c r="I403" s="89"/>
      <c r="J403" s="89"/>
      <c r="K403" s="90"/>
      <c r="L403" s="91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92"/>
      <c r="AD403" s="2"/>
      <c r="AE403" s="2"/>
      <c r="AF403" s="2"/>
      <c r="AG403" s="2"/>
      <c r="AH403" s="2"/>
      <c r="AI403" s="2"/>
      <c r="AJ403" s="2"/>
      <c r="AK403" s="2"/>
      <c r="AL403" s="54"/>
      <c r="AM403" s="54"/>
      <c r="AN403" s="54"/>
      <c r="AO403" s="54"/>
    </row>
    <row r="404" customFormat="false" ht="11.25" hidden="false" customHeight="true" outlineLevel="0" collapsed="false">
      <c r="A404" s="83"/>
      <c r="B404" s="84"/>
      <c r="C404" s="85"/>
      <c r="D404" s="93"/>
      <c r="E404" s="85"/>
      <c r="F404" s="88"/>
      <c r="G404" s="89"/>
      <c r="H404" s="89"/>
      <c r="I404" s="89"/>
      <c r="J404" s="89"/>
      <c r="K404" s="90"/>
      <c r="L404" s="91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92"/>
      <c r="AD404" s="2"/>
      <c r="AE404" s="2"/>
      <c r="AF404" s="2"/>
      <c r="AG404" s="2"/>
      <c r="AH404" s="2"/>
      <c r="AI404" s="2"/>
      <c r="AJ404" s="2"/>
      <c r="AK404" s="2"/>
      <c r="AL404" s="54"/>
      <c r="AM404" s="54"/>
      <c r="AN404" s="54"/>
      <c r="AO404" s="54"/>
    </row>
    <row r="405" customFormat="false" ht="11.25" hidden="false" customHeight="true" outlineLevel="0" collapsed="false">
      <c r="A405" s="83"/>
      <c r="B405" s="84"/>
      <c r="C405" s="85"/>
      <c r="D405" s="93"/>
      <c r="E405" s="85"/>
      <c r="F405" s="88"/>
      <c r="G405" s="89"/>
      <c r="H405" s="89"/>
      <c r="I405" s="89"/>
      <c r="J405" s="89"/>
      <c r="K405" s="90"/>
      <c r="L405" s="91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92"/>
      <c r="AD405" s="2"/>
      <c r="AE405" s="2"/>
      <c r="AF405" s="2"/>
      <c r="AG405" s="2"/>
      <c r="AH405" s="2"/>
      <c r="AI405" s="2"/>
      <c r="AJ405" s="2"/>
      <c r="AK405" s="2"/>
      <c r="AL405" s="54"/>
      <c r="AM405" s="54"/>
      <c r="AN405" s="54"/>
      <c r="AO405" s="54"/>
    </row>
    <row r="406" customFormat="false" ht="11.25" hidden="false" customHeight="true" outlineLevel="0" collapsed="false">
      <c r="A406" s="83"/>
      <c r="B406" s="84"/>
      <c r="C406" s="85"/>
      <c r="D406" s="93"/>
      <c r="E406" s="85"/>
      <c r="F406" s="88"/>
      <c r="G406" s="89"/>
      <c r="H406" s="89"/>
      <c r="I406" s="89"/>
      <c r="J406" s="89"/>
      <c r="K406" s="90"/>
      <c r="L406" s="91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92"/>
      <c r="AD406" s="2"/>
      <c r="AE406" s="2"/>
      <c r="AF406" s="2"/>
      <c r="AG406" s="2"/>
      <c r="AH406" s="2"/>
      <c r="AI406" s="2"/>
      <c r="AJ406" s="2"/>
      <c r="AK406" s="2"/>
      <c r="AL406" s="54"/>
      <c r="AM406" s="54"/>
      <c r="AN406" s="54"/>
      <c r="AO406" s="54"/>
    </row>
    <row r="407" customFormat="false" ht="11.25" hidden="false" customHeight="true" outlineLevel="0" collapsed="false">
      <c r="A407" s="83"/>
      <c r="B407" s="84"/>
      <c r="C407" s="85"/>
      <c r="D407" s="93"/>
      <c r="E407" s="85"/>
      <c r="F407" s="88"/>
      <c r="G407" s="89"/>
      <c r="H407" s="89"/>
      <c r="I407" s="89"/>
      <c r="J407" s="89"/>
      <c r="K407" s="90"/>
      <c r="L407" s="91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92"/>
      <c r="AD407" s="2"/>
      <c r="AE407" s="2"/>
      <c r="AF407" s="2"/>
      <c r="AG407" s="2"/>
      <c r="AH407" s="2"/>
      <c r="AI407" s="2"/>
      <c r="AJ407" s="2"/>
      <c r="AK407" s="2"/>
      <c r="AL407" s="54"/>
      <c r="AM407" s="54"/>
      <c r="AN407" s="54"/>
      <c r="AO407" s="54"/>
    </row>
    <row r="408" customFormat="false" ht="11.25" hidden="false" customHeight="true" outlineLevel="0" collapsed="false">
      <c r="A408" s="83"/>
      <c r="B408" s="84"/>
      <c r="C408" s="85"/>
      <c r="D408" s="93"/>
      <c r="E408" s="85"/>
      <c r="F408" s="88"/>
      <c r="G408" s="89"/>
      <c r="H408" s="89"/>
      <c r="I408" s="89"/>
      <c r="J408" s="89"/>
      <c r="K408" s="90"/>
      <c r="L408" s="91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92"/>
      <c r="AD408" s="2"/>
      <c r="AE408" s="2"/>
      <c r="AF408" s="2"/>
      <c r="AG408" s="2"/>
      <c r="AH408" s="2"/>
      <c r="AI408" s="2"/>
      <c r="AJ408" s="2"/>
      <c r="AK408" s="2"/>
      <c r="AL408" s="54"/>
      <c r="AM408" s="54"/>
      <c r="AN408" s="54"/>
      <c r="AO408" s="54"/>
    </row>
    <row r="409" customFormat="false" ht="11.25" hidden="false" customHeight="true" outlineLevel="0" collapsed="false">
      <c r="A409" s="83"/>
      <c r="B409" s="84"/>
      <c r="C409" s="85"/>
      <c r="D409" s="93"/>
      <c r="E409" s="85"/>
      <c r="F409" s="88"/>
      <c r="G409" s="89"/>
      <c r="H409" s="89"/>
      <c r="I409" s="89"/>
      <c r="J409" s="89"/>
      <c r="K409" s="90"/>
      <c r="L409" s="91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92"/>
      <c r="AD409" s="2"/>
      <c r="AE409" s="2"/>
      <c r="AF409" s="2"/>
      <c r="AG409" s="2"/>
      <c r="AH409" s="2"/>
      <c r="AI409" s="2"/>
      <c r="AJ409" s="2"/>
      <c r="AK409" s="2"/>
      <c r="AL409" s="54"/>
      <c r="AM409" s="54"/>
      <c r="AN409" s="54"/>
      <c r="AO409" s="54"/>
    </row>
    <row r="410" customFormat="false" ht="11.25" hidden="false" customHeight="true" outlineLevel="0" collapsed="false">
      <c r="A410" s="83"/>
      <c r="B410" s="84"/>
      <c r="C410" s="85"/>
      <c r="D410" s="93"/>
      <c r="E410" s="85"/>
      <c r="F410" s="88"/>
      <c r="G410" s="89"/>
      <c r="H410" s="89"/>
      <c r="I410" s="89"/>
      <c r="J410" s="89"/>
      <c r="K410" s="90"/>
      <c r="L410" s="91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92"/>
      <c r="AD410" s="2"/>
      <c r="AE410" s="2"/>
      <c r="AF410" s="2"/>
      <c r="AG410" s="2"/>
      <c r="AH410" s="2"/>
      <c r="AI410" s="2"/>
      <c r="AJ410" s="2"/>
      <c r="AK410" s="2"/>
      <c r="AL410" s="54"/>
      <c r="AM410" s="54"/>
      <c r="AN410" s="54"/>
      <c r="AO410" s="54"/>
    </row>
    <row r="411" customFormat="false" ht="11.25" hidden="false" customHeight="true" outlineLevel="0" collapsed="false">
      <c r="A411" s="83"/>
      <c r="B411" s="84"/>
      <c r="C411" s="85"/>
      <c r="D411" s="93"/>
      <c r="E411" s="85"/>
      <c r="F411" s="88"/>
      <c r="G411" s="89"/>
      <c r="H411" s="89"/>
      <c r="I411" s="89"/>
      <c r="J411" s="89"/>
      <c r="K411" s="90"/>
      <c r="L411" s="91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92"/>
      <c r="AD411" s="2"/>
      <c r="AE411" s="2"/>
      <c r="AF411" s="2"/>
      <c r="AG411" s="2"/>
      <c r="AH411" s="2"/>
      <c r="AI411" s="2"/>
      <c r="AJ411" s="2"/>
      <c r="AK411" s="2"/>
      <c r="AL411" s="54"/>
      <c r="AM411" s="54"/>
      <c r="AN411" s="54"/>
      <c r="AO411" s="54"/>
    </row>
    <row r="412" customFormat="false" ht="11.25" hidden="false" customHeight="true" outlineLevel="0" collapsed="false">
      <c r="A412" s="83"/>
      <c r="B412" s="84"/>
      <c r="C412" s="85"/>
      <c r="D412" s="93"/>
      <c r="E412" s="85"/>
      <c r="F412" s="88"/>
      <c r="G412" s="89"/>
      <c r="H412" s="89"/>
      <c r="I412" s="89"/>
      <c r="J412" s="89"/>
      <c r="K412" s="90"/>
      <c r="L412" s="91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92"/>
      <c r="AD412" s="2"/>
      <c r="AE412" s="2"/>
      <c r="AF412" s="2"/>
      <c r="AG412" s="2"/>
      <c r="AH412" s="2"/>
      <c r="AI412" s="2"/>
      <c r="AJ412" s="2"/>
      <c r="AK412" s="2"/>
      <c r="AL412" s="54"/>
      <c r="AM412" s="54"/>
      <c r="AN412" s="54"/>
      <c r="AO412" s="54"/>
    </row>
    <row r="413" customFormat="false" ht="11.25" hidden="false" customHeight="true" outlineLevel="0" collapsed="false">
      <c r="A413" s="83"/>
      <c r="B413" s="84"/>
      <c r="C413" s="85"/>
      <c r="D413" s="93"/>
      <c r="E413" s="85"/>
      <c r="F413" s="88"/>
      <c r="G413" s="89"/>
      <c r="H413" s="89"/>
      <c r="I413" s="89"/>
      <c r="J413" s="89"/>
      <c r="K413" s="90"/>
      <c r="L413" s="91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92"/>
      <c r="AD413" s="2"/>
      <c r="AE413" s="2"/>
      <c r="AF413" s="2"/>
      <c r="AG413" s="2"/>
      <c r="AH413" s="2"/>
      <c r="AI413" s="2"/>
      <c r="AJ413" s="2"/>
      <c r="AK413" s="2"/>
      <c r="AL413" s="54"/>
      <c r="AM413" s="54"/>
      <c r="AN413" s="54"/>
      <c r="AO413" s="54"/>
    </row>
    <row r="414" customFormat="false" ht="11.25" hidden="false" customHeight="true" outlineLevel="0" collapsed="false">
      <c r="A414" s="83"/>
      <c r="B414" s="84"/>
      <c r="C414" s="85"/>
      <c r="D414" s="93"/>
      <c r="E414" s="85"/>
      <c r="F414" s="88"/>
      <c r="G414" s="89"/>
      <c r="H414" s="89"/>
      <c r="I414" s="89"/>
      <c r="J414" s="89"/>
      <c r="K414" s="90"/>
      <c r="L414" s="91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92"/>
      <c r="AD414" s="2"/>
      <c r="AE414" s="2"/>
      <c r="AF414" s="2"/>
      <c r="AG414" s="2"/>
      <c r="AH414" s="2"/>
      <c r="AI414" s="2"/>
      <c r="AJ414" s="2"/>
      <c r="AK414" s="2"/>
      <c r="AL414" s="54"/>
      <c r="AM414" s="54"/>
      <c r="AN414" s="54"/>
      <c r="AO414" s="54"/>
    </row>
    <row r="415" customFormat="false" ht="11.25" hidden="false" customHeight="true" outlineLevel="0" collapsed="false">
      <c r="A415" s="83"/>
      <c r="B415" s="84"/>
      <c r="C415" s="85"/>
      <c r="D415" s="93"/>
      <c r="E415" s="85"/>
      <c r="F415" s="88"/>
      <c r="G415" s="89"/>
      <c r="H415" s="89"/>
      <c r="I415" s="89"/>
      <c r="J415" s="89"/>
      <c r="K415" s="90"/>
      <c r="L415" s="91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92"/>
      <c r="AD415" s="2"/>
      <c r="AE415" s="2"/>
      <c r="AF415" s="2"/>
      <c r="AG415" s="2"/>
      <c r="AH415" s="2"/>
      <c r="AI415" s="2"/>
      <c r="AJ415" s="2"/>
      <c r="AK415" s="2"/>
      <c r="AL415" s="54"/>
      <c r="AM415" s="54"/>
      <c r="AN415" s="54"/>
      <c r="AO415" s="54"/>
    </row>
    <row r="416" customFormat="false" ht="11.25" hidden="false" customHeight="true" outlineLevel="0" collapsed="false">
      <c r="A416" s="83"/>
      <c r="B416" s="84"/>
      <c r="C416" s="85"/>
      <c r="D416" s="93"/>
      <c r="E416" s="85"/>
      <c r="F416" s="88"/>
      <c r="G416" s="89"/>
      <c r="H416" s="89"/>
      <c r="I416" s="89"/>
      <c r="J416" s="89"/>
      <c r="K416" s="90"/>
      <c r="L416" s="91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92"/>
      <c r="AD416" s="2"/>
      <c r="AE416" s="2"/>
      <c r="AF416" s="2"/>
      <c r="AG416" s="2"/>
      <c r="AH416" s="2"/>
      <c r="AI416" s="2"/>
      <c r="AJ416" s="2"/>
      <c r="AK416" s="2"/>
      <c r="AL416" s="54"/>
      <c r="AM416" s="54"/>
      <c r="AN416" s="54"/>
      <c r="AO416" s="54"/>
    </row>
    <row r="417" customFormat="false" ht="11.25" hidden="false" customHeight="true" outlineLevel="0" collapsed="false">
      <c r="A417" s="83"/>
      <c r="B417" s="84"/>
      <c r="C417" s="85"/>
      <c r="D417" s="93"/>
      <c r="E417" s="85"/>
      <c r="F417" s="88"/>
      <c r="G417" s="89"/>
      <c r="H417" s="89"/>
      <c r="I417" s="89"/>
      <c r="J417" s="89"/>
      <c r="K417" s="90"/>
      <c r="L417" s="91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92"/>
      <c r="AD417" s="2"/>
      <c r="AE417" s="2"/>
      <c r="AF417" s="2"/>
      <c r="AG417" s="2"/>
      <c r="AH417" s="2"/>
      <c r="AI417" s="2"/>
      <c r="AJ417" s="2"/>
      <c r="AK417" s="2"/>
      <c r="AL417" s="54"/>
      <c r="AM417" s="54"/>
      <c r="AN417" s="54"/>
      <c r="AO417" s="54"/>
    </row>
    <row r="418" customFormat="false" ht="11.25" hidden="false" customHeight="true" outlineLevel="0" collapsed="false">
      <c r="A418" s="83"/>
      <c r="B418" s="84"/>
      <c r="C418" s="85"/>
      <c r="D418" s="93"/>
      <c r="E418" s="85"/>
      <c r="F418" s="88"/>
      <c r="G418" s="89"/>
      <c r="H418" s="89"/>
      <c r="I418" s="89"/>
      <c r="J418" s="89"/>
      <c r="K418" s="90"/>
      <c r="L418" s="91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92"/>
      <c r="AD418" s="2"/>
      <c r="AE418" s="2"/>
      <c r="AF418" s="2"/>
      <c r="AG418" s="2"/>
      <c r="AH418" s="2"/>
      <c r="AI418" s="2"/>
      <c r="AJ418" s="2"/>
      <c r="AK418" s="2"/>
      <c r="AL418" s="54"/>
      <c r="AM418" s="54"/>
      <c r="AN418" s="54"/>
      <c r="AO418" s="54"/>
    </row>
    <row r="419" customFormat="false" ht="11.25" hidden="false" customHeight="true" outlineLevel="0" collapsed="false">
      <c r="A419" s="83"/>
      <c r="B419" s="84"/>
      <c r="C419" s="85"/>
      <c r="D419" s="93"/>
      <c r="E419" s="85"/>
      <c r="F419" s="88"/>
      <c r="G419" s="89"/>
      <c r="H419" s="89"/>
      <c r="I419" s="89"/>
      <c r="J419" s="89"/>
      <c r="K419" s="90"/>
      <c r="L419" s="91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92"/>
      <c r="AD419" s="2"/>
      <c r="AE419" s="2"/>
      <c r="AF419" s="2"/>
      <c r="AG419" s="2"/>
      <c r="AH419" s="2"/>
      <c r="AI419" s="2"/>
      <c r="AJ419" s="2"/>
      <c r="AK419" s="2"/>
      <c r="AL419" s="54"/>
      <c r="AM419" s="54"/>
      <c r="AN419" s="54"/>
      <c r="AO419" s="54"/>
    </row>
    <row r="420" customFormat="false" ht="11.25" hidden="false" customHeight="true" outlineLevel="0" collapsed="false">
      <c r="A420" s="83"/>
      <c r="B420" s="84"/>
      <c r="C420" s="85"/>
      <c r="D420" s="93"/>
      <c r="E420" s="85"/>
      <c r="F420" s="88"/>
      <c r="G420" s="89"/>
      <c r="H420" s="89"/>
      <c r="I420" s="89"/>
      <c r="J420" s="89"/>
      <c r="K420" s="90"/>
      <c r="L420" s="91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92"/>
      <c r="AD420" s="2"/>
      <c r="AE420" s="2"/>
      <c r="AF420" s="2"/>
      <c r="AG420" s="2"/>
      <c r="AH420" s="2"/>
      <c r="AI420" s="2"/>
      <c r="AJ420" s="2"/>
      <c r="AK420" s="2"/>
      <c r="AL420" s="54"/>
      <c r="AM420" s="54"/>
      <c r="AN420" s="54"/>
      <c r="AO420" s="54"/>
    </row>
    <row r="421" customFormat="false" ht="11.25" hidden="false" customHeight="true" outlineLevel="0" collapsed="false">
      <c r="A421" s="83"/>
      <c r="B421" s="84"/>
      <c r="C421" s="85"/>
      <c r="D421" s="93"/>
      <c r="E421" s="85"/>
      <c r="F421" s="88"/>
      <c r="G421" s="89"/>
      <c r="H421" s="89"/>
      <c r="I421" s="89"/>
      <c r="J421" s="89"/>
      <c r="K421" s="90"/>
      <c r="L421" s="91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92"/>
      <c r="AD421" s="2"/>
      <c r="AE421" s="2"/>
      <c r="AF421" s="2"/>
      <c r="AG421" s="2"/>
      <c r="AH421" s="2"/>
      <c r="AI421" s="2"/>
      <c r="AJ421" s="2"/>
      <c r="AK421" s="2"/>
      <c r="AL421" s="54"/>
      <c r="AM421" s="54"/>
      <c r="AN421" s="54"/>
      <c r="AO421" s="54"/>
    </row>
    <row r="422" customFormat="false" ht="11.25" hidden="false" customHeight="true" outlineLevel="0" collapsed="false">
      <c r="A422" s="83"/>
      <c r="B422" s="84"/>
      <c r="C422" s="85"/>
      <c r="D422" s="93"/>
      <c r="E422" s="85"/>
      <c r="F422" s="88"/>
      <c r="G422" s="89"/>
      <c r="H422" s="89"/>
      <c r="I422" s="89"/>
      <c r="J422" s="89"/>
      <c r="K422" s="90"/>
      <c r="L422" s="91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92"/>
      <c r="AD422" s="2"/>
      <c r="AE422" s="2"/>
      <c r="AF422" s="2"/>
      <c r="AG422" s="2"/>
      <c r="AH422" s="2"/>
      <c r="AI422" s="2"/>
      <c r="AJ422" s="2"/>
      <c r="AK422" s="2"/>
      <c r="AL422" s="54"/>
      <c r="AM422" s="54"/>
      <c r="AN422" s="54"/>
      <c r="AO422" s="54"/>
    </row>
    <row r="423" customFormat="false" ht="11.25" hidden="false" customHeight="true" outlineLevel="0" collapsed="false">
      <c r="A423" s="83"/>
      <c r="B423" s="84"/>
      <c r="C423" s="85"/>
      <c r="D423" s="93"/>
      <c r="E423" s="85"/>
      <c r="F423" s="88"/>
      <c r="G423" s="89"/>
      <c r="H423" s="89"/>
      <c r="I423" s="89"/>
      <c r="J423" s="89"/>
      <c r="K423" s="90"/>
      <c r="L423" s="91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92"/>
      <c r="AD423" s="2"/>
      <c r="AE423" s="2"/>
      <c r="AF423" s="2"/>
      <c r="AG423" s="2"/>
      <c r="AH423" s="2"/>
      <c r="AI423" s="2"/>
      <c r="AJ423" s="2"/>
      <c r="AK423" s="2"/>
      <c r="AL423" s="54"/>
      <c r="AM423" s="54"/>
      <c r="AN423" s="54"/>
      <c r="AO423" s="54"/>
    </row>
    <row r="424" customFormat="false" ht="11.25" hidden="false" customHeight="true" outlineLevel="0" collapsed="false">
      <c r="A424" s="83"/>
      <c r="B424" s="84"/>
      <c r="C424" s="85"/>
      <c r="D424" s="93"/>
      <c r="E424" s="85"/>
      <c r="F424" s="88"/>
      <c r="G424" s="89"/>
      <c r="H424" s="89"/>
      <c r="I424" s="89"/>
      <c r="J424" s="89"/>
      <c r="K424" s="90"/>
      <c r="L424" s="91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92"/>
      <c r="AD424" s="2"/>
      <c r="AE424" s="2"/>
      <c r="AF424" s="2"/>
      <c r="AG424" s="2"/>
      <c r="AH424" s="2"/>
      <c r="AI424" s="2"/>
      <c r="AJ424" s="2"/>
      <c r="AK424" s="2"/>
      <c r="AL424" s="54"/>
      <c r="AM424" s="54"/>
      <c r="AN424" s="54"/>
      <c r="AO424" s="54"/>
    </row>
    <row r="425" customFormat="false" ht="11.25" hidden="false" customHeight="true" outlineLevel="0" collapsed="false">
      <c r="A425" s="83"/>
      <c r="B425" s="84"/>
      <c r="C425" s="85"/>
      <c r="D425" s="93"/>
      <c r="E425" s="85"/>
      <c r="F425" s="88"/>
      <c r="G425" s="89"/>
      <c r="H425" s="89"/>
      <c r="I425" s="89"/>
      <c r="J425" s="89"/>
      <c r="K425" s="90"/>
      <c r="L425" s="91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92"/>
      <c r="AD425" s="2"/>
      <c r="AE425" s="2"/>
      <c r="AF425" s="2"/>
      <c r="AG425" s="2"/>
      <c r="AH425" s="2"/>
      <c r="AI425" s="2"/>
      <c r="AJ425" s="2"/>
      <c r="AK425" s="2"/>
      <c r="AL425" s="54"/>
      <c r="AM425" s="54"/>
      <c r="AN425" s="54"/>
      <c r="AO425" s="54"/>
    </row>
    <row r="426" customFormat="false" ht="11.25" hidden="false" customHeight="true" outlineLevel="0" collapsed="false">
      <c r="A426" s="83"/>
      <c r="B426" s="84"/>
      <c r="C426" s="85"/>
      <c r="D426" s="93"/>
      <c r="E426" s="85"/>
      <c r="F426" s="88"/>
      <c r="G426" s="89"/>
      <c r="H426" s="89"/>
      <c r="I426" s="89"/>
      <c r="J426" s="89"/>
      <c r="K426" s="90"/>
      <c r="L426" s="91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92"/>
      <c r="AD426" s="2"/>
      <c r="AE426" s="2"/>
      <c r="AF426" s="2"/>
      <c r="AG426" s="2"/>
      <c r="AH426" s="2"/>
      <c r="AI426" s="2"/>
      <c r="AJ426" s="2"/>
      <c r="AK426" s="2"/>
      <c r="AL426" s="54"/>
      <c r="AM426" s="54"/>
      <c r="AN426" s="54"/>
      <c r="AO426" s="54"/>
    </row>
    <row r="427" customFormat="false" ht="11.25" hidden="false" customHeight="true" outlineLevel="0" collapsed="false">
      <c r="A427" s="83"/>
      <c r="B427" s="84"/>
      <c r="C427" s="85"/>
      <c r="D427" s="93"/>
      <c r="E427" s="85"/>
      <c r="F427" s="88"/>
      <c r="G427" s="89"/>
      <c r="H427" s="89"/>
      <c r="I427" s="89"/>
      <c r="J427" s="89"/>
      <c r="K427" s="90"/>
      <c r="L427" s="91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92"/>
      <c r="AD427" s="2"/>
      <c r="AE427" s="2"/>
      <c r="AF427" s="2"/>
      <c r="AG427" s="2"/>
      <c r="AH427" s="2"/>
      <c r="AI427" s="2"/>
      <c r="AJ427" s="2"/>
      <c r="AK427" s="2"/>
      <c r="AL427" s="54"/>
      <c r="AM427" s="54"/>
      <c r="AN427" s="54"/>
      <c r="AO427" s="54"/>
    </row>
    <row r="428" customFormat="false" ht="11.25" hidden="false" customHeight="true" outlineLevel="0" collapsed="false">
      <c r="A428" s="83"/>
      <c r="B428" s="84"/>
      <c r="C428" s="85"/>
      <c r="D428" s="93"/>
      <c r="E428" s="85"/>
      <c r="F428" s="88"/>
      <c r="G428" s="89"/>
      <c r="H428" s="89"/>
      <c r="I428" s="89"/>
      <c r="J428" s="89"/>
      <c r="K428" s="90"/>
      <c r="L428" s="91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92"/>
      <c r="AD428" s="2"/>
      <c r="AE428" s="2"/>
      <c r="AF428" s="2"/>
      <c r="AG428" s="2"/>
      <c r="AH428" s="2"/>
      <c r="AI428" s="2"/>
      <c r="AJ428" s="2"/>
      <c r="AK428" s="2"/>
      <c r="AL428" s="54"/>
      <c r="AM428" s="54"/>
      <c r="AN428" s="54"/>
      <c r="AO428" s="54"/>
    </row>
    <row r="429" customFormat="false" ht="11.25" hidden="false" customHeight="true" outlineLevel="0" collapsed="false">
      <c r="A429" s="83"/>
      <c r="B429" s="84"/>
      <c r="C429" s="85"/>
      <c r="D429" s="93"/>
      <c r="E429" s="85"/>
      <c r="F429" s="88"/>
      <c r="G429" s="89"/>
      <c r="H429" s="89"/>
      <c r="I429" s="89"/>
      <c r="J429" s="89"/>
      <c r="K429" s="90"/>
      <c r="L429" s="91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92"/>
      <c r="AD429" s="2"/>
      <c r="AE429" s="2"/>
      <c r="AF429" s="2"/>
      <c r="AG429" s="2"/>
      <c r="AH429" s="2"/>
      <c r="AI429" s="2"/>
      <c r="AJ429" s="2"/>
      <c r="AK429" s="2"/>
      <c r="AL429" s="54"/>
      <c r="AM429" s="54"/>
      <c r="AN429" s="54"/>
      <c r="AO429" s="54"/>
    </row>
    <row r="430" customFormat="false" ht="11.25" hidden="false" customHeight="true" outlineLevel="0" collapsed="false">
      <c r="A430" s="83"/>
      <c r="B430" s="84"/>
      <c r="C430" s="85"/>
      <c r="D430" s="93"/>
      <c r="E430" s="85"/>
      <c r="F430" s="88"/>
      <c r="G430" s="89"/>
      <c r="H430" s="89"/>
      <c r="I430" s="89"/>
      <c r="J430" s="89"/>
      <c r="K430" s="90"/>
      <c r="L430" s="91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92"/>
      <c r="AD430" s="2"/>
      <c r="AE430" s="2"/>
      <c r="AF430" s="2"/>
      <c r="AG430" s="2"/>
      <c r="AH430" s="2"/>
      <c r="AI430" s="2"/>
      <c r="AJ430" s="2"/>
      <c r="AK430" s="2"/>
      <c r="AL430" s="54"/>
      <c r="AM430" s="54"/>
      <c r="AN430" s="54"/>
      <c r="AO430" s="54"/>
    </row>
    <row r="431" customFormat="false" ht="11.25" hidden="false" customHeight="true" outlineLevel="0" collapsed="false">
      <c r="A431" s="83"/>
      <c r="B431" s="84"/>
      <c r="C431" s="85"/>
      <c r="D431" s="93"/>
      <c r="E431" s="85"/>
      <c r="F431" s="88"/>
      <c r="G431" s="89"/>
      <c r="H431" s="89"/>
      <c r="I431" s="89"/>
      <c r="J431" s="89"/>
      <c r="K431" s="90"/>
      <c r="L431" s="91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92"/>
      <c r="AD431" s="2"/>
      <c r="AE431" s="2"/>
      <c r="AF431" s="2"/>
      <c r="AG431" s="2"/>
      <c r="AH431" s="2"/>
      <c r="AI431" s="2"/>
      <c r="AJ431" s="2"/>
      <c r="AK431" s="2"/>
      <c r="AL431" s="54"/>
      <c r="AM431" s="54"/>
      <c r="AN431" s="54"/>
      <c r="AO431" s="54"/>
    </row>
    <row r="432" customFormat="false" ht="11.25" hidden="false" customHeight="true" outlineLevel="0" collapsed="false">
      <c r="A432" s="83"/>
      <c r="B432" s="84"/>
      <c r="C432" s="85"/>
      <c r="D432" s="93"/>
      <c r="E432" s="85"/>
      <c r="F432" s="88"/>
      <c r="G432" s="89"/>
      <c r="H432" s="89"/>
      <c r="I432" s="89"/>
      <c r="J432" s="89"/>
      <c r="K432" s="90"/>
      <c r="L432" s="91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92"/>
      <c r="AD432" s="2"/>
      <c r="AE432" s="2"/>
      <c r="AF432" s="2"/>
      <c r="AG432" s="2"/>
      <c r="AH432" s="2"/>
      <c r="AI432" s="2"/>
      <c r="AJ432" s="2"/>
      <c r="AK432" s="2"/>
      <c r="AL432" s="54"/>
      <c r="AM432" s="54"/>
      <c r="AN432" s="54"/>
      <c r="AO432" s="54"/>
    </row>
    <row r="433" customFormat="false" ht="11.25" hidden="false" customHeight="true" outlineLevel="0" collapsed="false">
      <c r="A433" s="83"/>
      <c r="B433" s="84"/>
      <c r="C433" s="85"/>
      <c r="D433" s="93"/>
      <c r="E433" s="85"/>
      <c r="F433" s="88"/>
      <c r="G433" s="89"/>
      <c r="H433" s="89"/>
      <c r="I433" s="89"/>
      <c r="J433" s="89"/>
      <c r="K433" s="90"/>
      <c r="L433" s="91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92"/>
      <c r="AD433" s="2"/>
      <c r="AE433" s="2"/>
      <c r="AF433" s="2"/>
      <c r="AG433" s="2"/>
      <c r="AH433" s="2"/>
      <c r="AI433" s="2"/>
      <c r="AJ433" s="2"/>
      <c r="AK433" s="2"/>
      <c r="AL433" s="54"/>
      <c r="AM433" s="54"/>
      <c r="AN433" s="54"/>
      <c r="AO433" s="54"/>
    </row>
    <row r="434" customFormat="false" ht="11.25" hidden="false" customHeight="true" outlineLevel="0" collapsed="false">
      <c r="A434" s="83"/>
      <c r="B434" s="84"/>
      <c r="C434" s="85"/>
      <c r="D434" s="93"/>
      <c r="E434" s="85"/>
      <c r="F434" s="88"/>
      <c r="G434" s="89"/>
      <c r="H434" s="89"/>
      <c r="I434" s="89"/>
      <c r="J434" s="89"/>
      <c r="K434" s="90"/>
      <c r="L434" s="91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92"/>
      <c r="AD434" s="2"/>
      <c r="AE434" s="2"/>
      <c r="AF434" s="2"/>
      <c r="AG434" s="2"/>
      <c r="AH434" s="2"/>
      <c r="AI434" s="2"/>
      <c r="AJ434" s="2"/>
      <c r="AK434" s="2"/>
      <c r="AL434" s="54"/>
      <c r="AM434" s="54"/>
      <c r="AN434" s="54"/>
      <c r="AO434" s="54"/>
    </row>
    <row r="435" customFormat="false" ht="11.25" hidden="false" customHeight="true" outlineLevel="0" collapsed="false">
      <c r="A435" s="83"/>
      <c r="B435" s="84"/>
      <c r="C435" s="85"/>
      <c r="D435" s="93"/>
      <c r="E435" s="85"/>
      <c r="F435" s="88"/>
      <c r="G435" s="89"/>
      <c r="H435" s="89"/>
      <c r="I435" s="89"/>
      <c r="J435" s="89"/>
      <c r="K435" s="90"/>
      <c r="L435" s="91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92"/>
      <c r="AD435" s="2"/>
      <c r="AE435" s="2"/>
      <c r="AF435" s="2"/>
      <c r="AG435" s="2"/>
      <c r="AH435" s="2"/>
      <c r="AI435" s="2"/>
      <c r="AJ435" s="2"/>
      <c r="AK435" s="2"/>
      <c r="AL435" s="54"/>
      <c r="AM435" s="54"/>
      <c r="AN435" s="54"/>
      <c r="AO435" s="54"/>
    </row>
    <row r="436" customFormat="false" ht="11.25" hidden="false" customHeight="true" outlineLevel="0" collapsed="false">
      <c r="A436" s="83"/>
      <c r="B436" s="84"/>
      <c r="C436" s="85"/>
      <c r="D436" s="93"/>
      <c r="E436" s="85"/>
      <c r="F436" s="88"/>
      <c r="G436" s="89"/>
      <c r="H436" s="89"/>
      <c r="I436" s="89"/>
      <c r="J436" s="89"/>
      <c r="K436" s="90"/>
      <c r="L436" s="91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92"/>
      <c r="AD436" s="2"/>
      <c r="AE436" s="2"/>
      <c r="AF436" s="2"/>
      <c r="AG436" s="2"/>
      <c r="AH436" s="2"/>
      <c r="AI436" s="2"/>
      <c r="AJ436" s="2"/>
      <c r="AK436" s="2"/>
      <c r="AL436" s="54"/>
      <c r="AM436" s="54"/>
      <c r="AN436" s="54"/>
      <c r="AO436" s="54"/>
    </row>
    <row r="437" customFormat="false" ht="11.25" hidden="false" customHeight="true" outlineLevel="0" collapsed="false">
      <c r="A437" s="83"/>
      <c r="B437" s="84"/>
      <c r="C437" s="85"/>
      <c r="D437" s="93"/>
      <c r="E437" s="85"/>
      <c r="F437" s="88"/>
      <c r="G437" s="89"/>
      <c r="H437" s="89"/>
      <c r="I437" s="89"/>
      <c r="J437" s="89"/>
      <c r="K437" s="90"/>
      <c r="L437" s="91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92"/>
      <c r="AD437" s="2"/>
      <c r="AE437" s="2"/>
      <c r="AF437" s="2"/>
      <c r="AG437" s="2"/>
      <c r="AH437" s="2"/>
      <c r="AI437" s="2"/>
      <c r="AJ437" s="2"/>
      <c r="AK437" s="2"/>
      <c r="AL437" s="54"/>
      <c r="AM437" s="54"/>
      <c r="AN437" s="54"/>
      <c r="AO437" s="54"/>
    </row>
    <row r="438" customFormat="false" ht="11.25" hidden="false" customHeight="true" outlineLevel="0" collapsed="false">
      <c r="A438" s="83"/>
      <c r="B438" s="84"/>
      <c r="C438" s="85"/>
      <c r="D438" s="93"/>
      <c r="E438" s="85"/>
      <c r="F438" s="88"/>
      <c r="G438" s="89"/>
      <c r="H438" s="89"/>
      <c r="I438" s="89"/>
      <c r="J438" s="89"/>
      <c r="K438" s="90"/>
      <c r="L438" s="91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92"/>
      <c r="AD438" s="2"/>
      <c r="AE438" s="2"/>
      <c r="AF438" s="2"/>
      <c r="AG438" s="2"/>
      <c r="AH438" s="2"/>
      <c r="AI438" s="2"/>
      <c r="AJ438" s="2"/>
      <c r="AK438" s="2"/>
      <c r="AL438" s="54"/>
      <c r="AM438" s="54"/>
      <c r="AN438" s="54"/>
      <c r="AO438" s="54"/>
    </row>
    <row r="439" customFormat="false" ht="11.25" hidden="false" customHeight="true" outlineLevel="0" collapsed="false">
      <c r="A439" s="83"/>
      <c r="B439" s="84"/>
      <c r="C439" s="85"/>
      <c r="D439" s="93"/>
      <c r="E439" s="85"/>
      <c r="F439" s="88"/>
      <c r="G439" s="89"/>
      <c r="H439" s="89"/>
      <c r="I439" s="89"/>
      <c r="J439" s="89"/>
      <c r="K439" s="90"/>
      <c r="L439" s="91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92"/>
      <c r="AD439" s="2"/>
      <c r="AE439" s="2"/>
      <c r="AF439" s="2"/>
      <c r="AG439" s="2"/>
      <c r="AH439" s="2"/>
      <c r="AI439" s="2"/>
      <c r="AJ439" s="2"/>
      <c r="AK439" s="2"/>
      <c r="AL439" s="54"/>
      <c r="AM439" s="54"/>
      <c r="AN439" s="54"/>
      <c r="AO439" s="54"/>
    </row>
    <row r="440" customFormat="false" ht="11.25" hidden="false" customHeight="true" outlineLevel="0" collapsed="false">
      <c r="A440" s="83"/>
      <c r="B440" s="84"/>
      <c r="C440" s="85"/>
      <c r="D440" s="93"/>
      <c r="E440" s="85"/>
      <c r="F440" s="88"/>
      <c r="G440" s="89"/>
      <c r="H440" s="89"/>
      <c r="I440" s="89"/>
      <c r="J440" s="89"/>
      <c r="K440" s="90"/>
      <c r="L440" s="91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92"/>
      <c r="AD440" s="2"/>
      <c r="AE440" s="2"/>
      <c r="AF440" s="2"/>
      <c r="AG440" s="2"/>
      <c r="AH440" s="2"/>
      <c r="AI440" s="2"/>
      <c r="AJ440" s="2"/>
      <c r="AK440" s="2"/>
      <c r="AL440" s="54"/>
      <c r="AM440" s="54"/>
      <c r="AN440" s="54"/>
      <c r="AO440" s="54"/>
    </row>
    <row r="441" customFormat="false" ht="11.25" hidden="false" customHeight="true" outlineLevel="0" collapsed="false">
      <c r="A441" s="83"/>
      <c r="B441" s="84"/>
      <c r="C441" s="85"/>
      <c r="D441" s="93"/>
      <c r="E441" s="85"/>
      <c r="F441" s="88"/>
      <c r="G441" s="89"/>
      <c r="H441" s="89"/>
      <c r="I441" s="89"/>
      <c r="J441" s="89"/>
      <c r="K441" s="90"/>
      <c r="L441" s="91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92"/>
      <c r="AD441" s="2"/>
      <c r="AE441" s="2"/>
      <c r="AF441" s="2"/>
      <c r="AG441" s="2"/>
      <c r="AH441" s="2"/>
      <c r="AI441" s="2"/>
      <c r="AJ441" s="2"/>
      <c r="AK441" s="2"/>
      <c r="AL441" s="54"/>
      <c r="AM441" s="54"/>
      <c r="AN441" s="54"/>
      <c r="AO441" s="54"/>
    </row>
    <row r="442" customFormat="false" ht="11.25" hidden="false" customHeight="true" outlineLevel="0" collapsed="false">
      <c r="A442" s="83"/>
      <c r="B442" s="84"/>
      <c r="C442" s="85"/>
      <c r="D442" s="93"/>
      <c r="E442" s="85"/>
      <c r="F442" s="88"/>
      <c r="G442" s="89"/>
      <c r="H442" s="89"/>
      <c r="I442" s="89"/>
      <c r="J442" s="89"/>
      <c r="K442" s="90"/>
      <c r="L442" s="91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92"/>
      <c r="AD442" s="2"/>
      <c r="AE442" s="2"/>
      <c r="AF442" s="2"/>
      <c r="AG442" s="2"/>
      <c r="AH442" s="2"/>
      <c r="AI442" s="2"/>
      <c r="AJ442" s="2"/>
      <c r="AK442" s="2"/>
      <c r="AL442" s="54"/>
      <c r="AM442" s="54"/>
      <c r="AN442" s="54"/>
      <c r="AO442" s="54"/>
    </row>
    <row r="443" customFormat="false" ht="11.25" hidden="false" customHeight="true" outlineLevel="0" collapsed="false">
      <c r="A443" s="83"/>
      <c r="B443" s="84"/>
      <c r="C443" s="85"/>
      <c r="D443" s="93"/>
      <c r="E443" s="85"/>
      <c r="F443" s="88"/>
      <c r="G443" s="89"/>
      <c r="H443" s="89"/>
      <c r="I443" s="89"/>
      <c r="J443" s="89"/>
      <c r="K443" s="90"/>
      <c r="L443" s="91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92"/>
      <c r="AD443" s="2"/>
      <c r="AE443" s="2"/>
      <c r="AF443" s="2"/>
      <c r="AG443" s="2"/>
      <c r="AH443" s="2"/>
      <c r="AI443" s="2"/>
      <c r="AJ443" s="2"/>
      <c r="AK443" s="2"/>
      <c r="AL443" s="54"/>
      <c r="AM443" s="54"/>
      <c r="AN443" s="54"/>
      <c r="AO443" s="54"/>
    </row>
    <row r="444" customFormat="false" ht="11.25" hidden="false" customHeight="true" outlineLevel="0" collapsed="false">
      <c r="A444" s="83"/>
      <c r="B444" s="84"/>
      <c r="C444" s="85"/>
      <c r="D444" s="93"/>
      <c r="E444" s="85"/>
      <c r="F444" s="88"/>
      <c r="G444" s="89"/>
      <c r="H444" s="89"/>
      <c r="I444" s="89"/>
      <c r="J444" s="89"/>
      <c r="K444" s="90"/>
      <c r="L444" s="91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92"/>
      <c r="AD444" s="2"/>
      <c r="AE444" s="2"/>
      <c r="AF444" s="2"/>
      <c r="AG444" s="2"/>
      <c r="AH444" s="2"/>
      <c r="AI444" s="2"/>
      <c r="AJ444" s="2"/>
      <c r="AK444" s="2"/>
      <c r="AL444" s="54"/>
      <c r="AM444" s="54"/>
      <c r="AN444" s="54"/>
      <c r="AO444" s="54"/>
    </row>
    <row r="445" customFormat="false" ht="11.25" hidden="false" customHeight="true" outlineLevel="0" collapsed="false">
      <c r="A445" s="83"/>
      <c r="B445" s="84"/>
      <c r="C445" s="85"/>
      <c r="D445" s="93"/>
      <c r="E445" s="85"/>
      <c r="F445" s="88"/>
      <c r="G445" s="89"/>
      <c r="H445" s="89"/>
      <c r="I445" s="89"/>
      <c r="J445" s="89"/>
      <c r="K445" s="90"/>
      <c r="L445" s="91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92"/>
      <c r="AD445" s="2"/>
      <c r="AE445" s="2"/>
      <c r="AF445" s="2"/>
      <c r="AG445" s="2"/>
      <c r="AH445" s="2"/>
      <c r="AI445" s="2"/>
      <c r="AJ445" s="2"/>
      <c r="AK445" s="2"/>
      <c r="AL445" s="54"/>
      <c r="AM445" s="54"/>
      <c r="AN445" s="54"/>
      <c r="AO445" s="54"/>
    </row>
    <row r="446" customFormat="false" ht="11.25" hidden="false" customHeight="true" outlineLevel="0" collapsed="false">
      <c r="A446" s="83"/>
      <c r="B446" s="84"/>
      <c r="C446" s="85"/>
      <c r="D446" s="93"/>
      <c r="E446" s="85"/>
      <c r="F446" s="88"/>
      <c r="G446" s="89"/>
      <c r="H446" s="89"/>
      <c r="I446" s="89"/>
      <c r="J446" s="89"/>
      <c r="K446" s="90"/>
      <c r="L446" s="91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92"/>
      <c r="AD446" s="2"/>
      <c r="AE446" s="2"/>
      <c r="AF446" s="2"/>
      <c r="AG446" s="2"/>
      <c r="AH446" s="2"/>
      <c r="AI446" s="2"/>
      <c r="AJ446" s="2"/>
      <c r="AK446" s="2"/>
      <c r="AL446" s="54"/>
      <c r="AM446" s="54"/>
      <c r="AN446" s="54"/>
      <c r="AO446" s="54"/>
    </row>
    <row r="447" customFormat="false" ht="11.25" hidden="false" customHeight="true" outlineLevel="0" collapsed="false">
      <c r="A447" s="83"/>
      <c r="B447" s="84"/>
      <c r="C447" s="85"/>
      <c r="D447" s="93"/>
      <c r="E447" s="85"/>
      <c r="F447" s="88"/>
      <c r="G447" s="89"/>
      <c r="H447" s="89"/>
      <c r="I447" s="89"/>
      <c r="J447" s="89"/>
      <c r="K447" s="90"/>
      <c r="L447" s="91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92"/>
      <c r="AD447" s="2"/>
      <c r="AE447" s="2"/>
      <c r="AF447" s="2"/>
      <c r="AG447" s="2"/>
      <c r="AH447" s="2"/>
      <c r="AI447" s="2"/>
      <c r="AJ447" s="2"/>
      <c r="AK447" s="2"/>
      <c r="AL447" s="54"/>
      <c r="AM447" s="54"/>
      <c r="AN447" s="54"/>
      <c r="AO447" s="54"/>
    </row>
    <row r="448" customFormat="false" ht="11.25" hidden="false" customHeight="true" outlineLevel="0" collapsed="false">
      <c r="A448" s="83"/>
      <c r="B448" s="84"/>
      <c r="C448" s="85"/>
      <c r="D448" s="93"/>
      <c r="E448" s="85"/>
      <c r="F448" s="88"/>
      <c r="G448" s="89"/>
      <c r="H448" s="89"/>
      <c r="I448" s="89"/>
      <c r="J448" s="89"/>
      <c r="K448" s="90"/>
      <c r="L448" s="91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92"/>
      <c r="AD448" s="2"/>
      <c r="AE448" s="2"/>
      <c r="AF448" s="2"/>
      <c r="AG448" s="2"/>
      <c r="AH448" s="2"/>
      <c r="AI448" s="2"/>
      <c r="AJ448" s="2"/>
      <c r="AK448" s="2"/>
      <c r="AL448" s="54"/>
      <c r="AM448" s="54"/>
      <c r="AN448" s="54"/>
      <c r="AO448" s="54"/>
    </row>
    <row r="449" customFormat="false" ht="11.25" hidden="false" customHeight="true" outlineLevel="0" collapsed="false">
      <c r="A449" s="83"/>
      <c r="B449" s="84"/>
      <c r="C449" s="85"/>
      <c r="D449" s="93"/>
      <c r="E449" s="85"/>
      <c r="F449" s="88"/>
      <c r="G449" s="89"/>
      <c r="H449" s="89"/>
      <c r="I449" s="89"/>
      <c r="J449" s="89"/>
      <c r="K449" s="90"/>
      <c r="L449" s="91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92"/>
      <c r="AD449" s="2"/>
      <c r="AE449" s="2"/>
      <c r="AF449" s="2"/>
      <c r="AG449" s="2"/>
      <c r="AH449" s="2"/>
      <c r="AI449" s="2"/>
      <c r="AJ449" s="2"/>
      <c r="AK449" s="2"/>
      <c r="AL449" s="54"/>
      <c r="AM449" s="54"/>
      <c r="AN449" s="54"/>
      <c r="AO449" s="54"/>
    </row>
    <row r="450" customFormat="false" ht="11.25" hidden="false" customHeight="true" outlineLevel="0" collapsed="false">
      <c r="A450" s="83"/>
      <c r="B450" s="84"/>
      <c r="C450" s="85"/>
      <c r="D450" s="93"/>
      <c r="E450" s="85"/>
      <c r="F450" s="88"/>
      <c r="G450" s="89"/>
      <c r="H450" s="89"/>
      <c r="I450" s="89"/>
      <c r="J450" s="89"/>
      <c r="K450" s="90"/>
      <c r="L450" s="91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92"/>
      <c r="AD450" s="2"/>
      <c r="AE450" s="2"/>
      <c r="AF450" s="2"/>
      <c r="AG450" s="2"/>
      <c r="AH450" s="2"/>
      <c r="AI450" s="2"/>
      <c r="AJ450" s="2"/>
      <c r="AK450" s="2"/>
      <c r="AL450" s="54"/>
      <c r="AM450" s="54"/>
      <c r="AN450" s="54"/>
      <c r="AO450" s="54"/>
    </row>
    <row r="451" customFormat="false" ht="11.25" hidden="false" customHeight="true" outlineLevel="0" collapsed="false">
      <c r="A451" s="83"/>
      <c r="B451" s="84"/>
      <c r="C451" s="85"/>
      <c r="D451" s="93"/>
      <c r="E451" s="85"/>
      <c r="F451" s="88"/>
      <c r="G451" s="89"/>
      <c r="H451" s="89"/>
      <c r="I451" s="89"/>
      <c r="J451" s="89"/>
      <c r="K451" s="90"/>
      <c r="L451" s="91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92"/>
      <c r="AD451" s="2"/>
      <c r="AE451" s="2"/>
      <c r="AF451" s="2"/>
      <c r="AG451" s="2"/>
      <c r="AH451" s="2"/>
      <c r="AI451" s="2"/>
      <c r="AJ451" s="2"/>
      <c r="AK451" s="2"/>
      <c r="AL451" s="54"/>
      <c r="AM451" s="54"/>
      <c r="AN451" s="54"/>
      <c r="AO451" s="54"/>
    </row>
    <row r="452" customFormat="false" ht="11.25" hidden="false" customHeight="true" outlineLevel="0" collapsed="false">
      <c r="A452" s="83"/>
      <c r="B452" s="84"/>
      <c r="C452" s="85"/>
      <c r="D452" s="93"/>
      <c r="E452" s="85"/>
      <c r="F452" s="88"/>
      <c r="G452" s="89"/>
      <c r="H452" s="89"/>
      <c r="I452" s="89"/>
      <c r="J452" s="89"/>
      <c r="K452" s="90"/>
      <c r="L452" s="91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92"/>
      <c r="AD452" s="2"/>
      <c r="AE452" s="2"/>
      <c r="AF452" s="2"/>
      <c r="AG452" s="2"/>
      <c r="AH452" s="2"/>
      <c r="AI452" s="2"/>
      <c r="AJ452" s="2"/>
      <c r="AK452" s="2"/>
      <c r="AL452" s="54"/>
      <c r="AM452" s="54"/>
      <c r="AN452" s="54"/>
      <c r="AO452" s="54"/>
    </row>
    <row r="453" customFormat="false" ht="11.25" hidden="false" customHeight="true" outlineLevel="0" collapsed="false">
      <c r="A453" s="83"/>
      <c r="B453" s="84"/>
      <c r="C453" s="85"/>
      <c r="D453" s="93"/>
      <c r="E453" s="85"/>
      <c r="F453" s="88"/>
      <c r="G453" s="89"/>
      <c r="H453" s="89"/>
      <c r="I453" s="89"/>
      <c r="J453" s="89"/>
      <c r="K453" s="90"/>
      <c r="L453" s="91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92"/>
      <c r="AD453" s="2"/>
      <c r="AE453" s="2"/>
      <c r="AF453" s="2"/>
      <c r="AG453" s="2"/>
      <c r="AH453" s="2"/>
      <c r="AI453" s="2"/>
      <c r="AJ453" s="2"/>
      <c r="AK453" s="2"/>
      <c r="AL453" s="54"/>
      <c r="AM453" s="54"/>
      <c r="AN453" s="54"/>
      <c r="AO453" s="54"/>
    </row>
    <row r="454" customFormat="false" ht="11.25" hidden="false" customHeight="true" outlineLevel="0" collapsed="false">
      <c r="A454" s="83"/>
      <c r="B454" s="84"/>
      <c r="C454" s="85"/>
      <c r="D454" s="93"/>
      <c r="E454" s="85"/>
      <c r="F454" s="88"/>
      <c r="G454" s="89"/>
      <c r="H454" s="89"/>
      <c r="I454" s="89"/>
      <c r="J454" s="89"/>
      <c r="K454" s="90"/>
      <c r="L454" s="91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92"/>
      <c r="AD454" s="2"/>
      <c r="AE454" s="2"/>
      <c r="AF454" s="2"/>
      <c r="AG454" s="2"/>
      <c r="AH454" s="2"/>
      <c r="AI454" s="2"/>
      <c r="AJ454" s="2"/>
      <c r="AK454" s="2"/>
      <c r="AL454" s="54"/>
      <c r="AM454" s="54"/>
      <c r="AN454" s="54"/>
      <c r="AO454" s="54"/>
    </row>
    <row r="455" customFormat="false" ht="11.25" hidden="false" customHeight="true" outlineLevel="0" collapsed="false">
      <c r="A455" s="83"/>
      <c r="B455" s="84"/>
      <c r="C455" s="85"/>
      <c r="D455" s="93"/>
      <c r="E455" s="85"/>
      <c r="F455" s="88"/>
      <c r="G455" s="89"/>
      <c r="H455" s="89"/>
      <c r="I455" s="89"/>
      <c r="J455" s="89"/>
      <c r="K455" s="90"/>
      <c r="L455" s="91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92"/>
      <c r="AD455" s="2"/>
      <c r="AE455" s="2"/>
      <c r="AF455" s="2"/>
      <c r="AG455" s="2"/>
      <c r="AH455" s="2"/>
      <c r="AI455" s="2"/>
      <c r="AJ455" s="2"/>
      <c r="AK455" s="2"/>
      <c r="AL455" s="54"/>
      <c r="AM455" s="54"/>
      <c r="AN455" s="54"/>
      <c r="AO455" s="54"/>
    </row>
    <row r="456" customFormat="false" ht="11.25" hidden="false" customHeight="true" outlineLevel="0" collapsed="false">
      <c r="A456" s="83"/>
      <c r="B456" s="84"/>
      <c r="C456" s="85"/>
      <c r="D456" s="93"/>
      <c r="E456" s="85"/>
      <c r="F456" s="88"/>
      <c r="G456" s="89"/>
      <c r="H456" s="89"/>
      <c r="I456" s="89"/>
      <c r="J456" s="89"/>
      <c r="K456" s="90"/>
      <c r="L456" s="91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92"/>
      <c r="AD456" s="2"/>
      <c r="AE456" s="2"/>
      <c r="AF456" s="2"/>
      <c r="AG456" s="2"/>
      <c r="AH456" s="2"/>
      <c r="AI456" s="2"/>
      <c r="AJ456" s="2"/>
      <c r="AK456" s="2"/>
      <c r="AL456" s="54"/>
      <c r="AM456" s="54"/>
      <c r="AN456" s="54"/>
      <c r="AO456" s="54"/>
    </row>
    <row r="457" customFormat="false" ht="11.25" hidden="false" customHeight="true" outlineLevel="0" collapsed="false">
      <c r="A457" s="83"/>
      <c r="B457" s="84"/>
      <c r="C457" s="85"/>
      <c r="D457" s="93"/>
      <c r="E457" s="85"/>
      <c r="F457" s="88"/>
      <c r="G457" s="89"/>
      <c r="H457" s="89"/>
      <c r="I457" s="89"/>
      <c r="J457" s="89"/>
      <c r="K457" s="90"/>
      <c r="L457" s="91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92"/>
      <c r="AD457" s="2"/>
      <c r="AE457" s="2"/>
      <c r="AF457" s="2"/>
      <c r="AG457" s="2"/>
      <c r="AH457" s="2"/>
      <c r="AI457" s="2"/>
      <c r="AJ457" s="2"/>
      <c r="AK457" s="2"/>
      <c r="AL457" s="54"/>
      <c r="AM457" s="54"/>
      <c r="AN457" s="54"/>
      <c r="AO457" s="54"/>
    </row>
    <row r="458" customFormat="false" ht="11.25" hidden="false" customHeight="true" outlineLevel="0" collapsed="false">
      <c r="A458" s="83"/>
      <c r="B458" s="84"/>
      <c r="C458" s="85"/>
      <c r="D458" s="93"/>
      <c r="E458" s="85"/>
      <c r="F458" s="88"/>
      <c r="G458" s="89"/>
      <c r="H458" s="89"/>
      <c r="I458" s="89"/>
      <c r="J458" s="89"/>
      <c r="K458" s="90"/>
      <c r="L458" s="91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92"/>
      <c r="AD458" s="2"/>
      <c r="AE458" s="2"/>
      <c r="AF458" s="2"/>
      <c r="AG458" s="2"/>
      <c r="AH458" s="2"/>
      <c r="AI458" s="2"/>
      <c r="AJ458" s="2"/>
      <c r="AK458" s="2"/>
      <c r="AL458" s="54"/>
      <c r="AM458" s="54"/>
      <c r="AN458" s="54"/>
      <c r="AO458" s="54"/>
    </row>
    <row r="459" customFormat="false" ht="11.25" hidden="false" customHeight="true" outlineLevel="0" collapsed="false">
      <c r="A459" s="83"/>
      <c r="B459" s="84"/>
      <c r="C459" s="85"/>
      <c r="D459" s="93"/>
      <c r="E459" s="85"/>
      <c r="F459" s="88"/>
      <c r="G459" s="89"/>
      <c r="H459" s="89"/>
      <c r="I459" s="89"/>
      <c r="J459" s="89"/>
      <c r="K459" s="90"/>
      <c r="L459" s="91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92"/>
      <c r="AD459" s="2"/>
      <c r="AE459" s="2"/>
      <c r="AF459" s="2"/>
      <c r="AG459" s="2"/>
      <c r="AH459" s="2"/>
      <c r="AI459" s="2"/>
      <c r="AJ459" s="2"/>
      <c r="AK459" s="2"/>
      <c r="AL459" s="54"/>
      <c r="AM459" s="54"/>
      <c r="AN459" s="54"/>
      <c r="AO459" s="54"/>
    </row>
    <row r="460" customFormat="false" ht="11.25" hidden="false" customHeight="true" outlineLevel="0" collapsed="false">
      <c r="A460" s="83"/>
      <c r="B460" s="84"/>
      <c r="C460" s="85"/>
      <c r="D460" s="93"/>
      <c r="E460" s="85"/>
      <c r="F460" s="88"/>
      <c r="G460" s="89"/>
      <c r="H460" s="89"/>
      <c r="I460" s="89"/>
      <c r="J460" s="89"/>
      <c r="K460" s="90"/>
      <c r="L460" s="91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92"/>
      <c r="AD460" s="2"/>
      <c r="AE460" s="2"/>
      <c r="AF460" s="2"/>
      <c r="AG460" s="2"/>
      <c r="AH460" s="2"/>
      <c r="AI460" s="2"/>
      <c r="AJ460" s="2"/>
      <c r="AK460" s="2"/>
      <c r="AL460" s="54"/>
      <c r="AM460" s="54"/>
      <c r="AN460" s="54"/>
      <c r="AO460" s="54"/>
    </row>
    <row r="461" customFormat="false" ht="11.25" hidden="false" customHeight="true" outlineLevel="0" collapsed="false">
      <c r="A461" s="83"/>
      <c r="B461" s="84"/>
      <c r="C461" s="85"/>
      <c r="D461" s="93"/>
      <c r="E461" s="85"/>
      <c r="F461" s="88"/>
      <c r="G461" s="89"/>
      <c r="H461" s="89"/>
      <c r="I461" s="89"/>
      <c r="J461" s="89"/>
      <c r="K461" s="90"/>
      <c r="L461" s="91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92"/>
      <c r="AD461" s="2"/>
      <c r="AE461" s="2"/>
      <c r="AF461" s="2"/>
      <c r="AG461" s="2"/>
      <c r="AH461" s="2"/>
      <c r="AI461" s="2"/>
      <c r="AJ461" s="2"/>
      <c r="AK461" s="2"/>
      <c r="AL461" s="54"/>
      <c r="AM461" s="54"/>
      <c r="AN461" s="54"/>
      <c r="AO461" s="54"/>
    </row>
    <row r="462" customFormat="false" ht="11.25" hidden="false" customHeight="true" outlineLevel="0" collapsed="false">
      <c r="A462" s="83"/>
      <c r="B462" s="84"/>
      <c r="C462" s="85"/>
      <c r="D462" s="93"/>
      <c r="E462" s="85"/>
      <c r="F462" s="88"/>
      <c r="G462" s="89"/>
      <c r="H462" s="89"/>
      <c r="I462" s="89"/>
      <c r="J462" s="89"/>
      <c r="K462" s="90"/>
      <c r="L462" s="91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92"/>
      <c r="AD462" s="2"/>
      <c r="AE462" s="2"/>
      <c r="AF462" s="2"/>
      <c r="AG462" s="2"/>
      <c r="AH462" s="2"/>
      <c r="AI462" s="2"/>
      <c r="AJ462" s="2"/>
      <c r="AK462" s="2"/>
      <c r="AL462" s="54"/>
      <c r="AM462" s="54"/>
      <c r="AN462" s="54"/>
      <c r="AO462" s="54"/>
    </row>
    <row r="463" customFormat="false" ht="11.25" hidden="false" customHeight="true" outlineLevel="0" collapsed="false">
      <c r="A463" s="83"/>
      <c r="B463" s="84"/>
      <c r="C463" s="85"/>
      <c r="D463" s="93"/>
      <c r="E463" s="85"/>
      <c r="F463" s="88"/>
      <c r="G463" s="89"/>
      <c r="H463" s="89"/>
      <c r="I463" s="89"/>
      <c r="J463" s="89"/>
      <c r="K463" s="90"/>
      <c r="L463" s="91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92"/>
      <c r="AD463" s="2"/>
      <c r="AE463" s="2"/>
      <c r="AF463" s="2"/>
      <c r="AG463" s="2"/>
      <c r="AH463" s="2"/>
      <c r="AI463" s="2"/>
      <c r="AJ463" s="2"/>
      <c r="AK463" s="2"/>
      <c r="AL463" s="54"/>
      <c r="AM463" s="54"/>
      <c r="AN463" s="54"/>
      <c r="AO463" s="54"/>
    </row>
    <row r="464" customFormat="false" ht="11.25" hidden="false" customHeight="true" outlineLevel="0" collapsed="false">
      <c r="A464" s="83"/>
      <c r="B464" s="84"/>
      <c r="C464" s="85"/>
      <c r="D464" s="93"/>
      <c r="E464" s="85"/>
      <c r="F464" s="88"/>
      <c r="G464" s="89"/>
      <c r="H464" s="89"/>
      <c r="I464" s="89"/>
      <c r="J464" s="89"/>
      <c r="K464" s="90"/>
      <c r="L464" s="91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92"/>
      <c r="AD464" s="2"/>
      <c r="AE464" s="2"/>
      <c r="AF464" s="2"/>
      <c r="AG464" s="2"/>
      <c r="AH464" s="2"/>
      <c r="AI464" s="2"/>
      <c r="AJ464" s="2"/>
      <c r="AK464" s="2"/>
      <c r="AL464" s="54"/>
      <c r="AM464" s="54"/>
      <c r="AN464" s="54"/>
      <c r="AO464" s="54"/>
    </row>
    <row r="465" customFormat="false" ht="11.25" hidden="false" customHeight="true" outlineLevel="0" collapsed="false">
      <c r="A465" s="83"/>
      <c r="B465" s="84"/>
      <c r="C465" s="85"/>
      <c r="D465" s="93"/>
      <c r="E465" s="85"/>
      <c r="F465" s="88"/>
      <c r="G465" s="89"/>
      <c r="H465" s="89"/>
      <c r="I465" s="89"/>
      <c r="J465" s="89"/>
      <c r="K465" s="90"/>
      <c r="L465" s="91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92"/>
      <c r="AD465" s="2"/>
      <c r="AE465" s="2"/>
      <c r="AF465" s="2"/>
      <c r="AG465" s="2"/>
      <c r="AH465" s="2"/>
      <c r="AI465" s="2"/>
      <c r="AJ465" s="2"/>
      <c r="AK465" s="2"/>
      <c r="AL465" s="54"/>
      <c r="AM465" s="54"/>
      <c r="AN465" s="54"/>
      <c r="AO465" s="54"/>
    </row>
    <row r="466" customFormat="false" ht="11.25" hidden="false" customHeight="true" outlineLevel="0" collapsed="false">
      <c r="A466" s="83"/>
      <c r="B466" s="84"/>
      <c r="C466" s="85"/>
      <c r="D466" s="93"/>
      <c r="E466" s="85"/>
      <c r="F466" s="88"/>
      <c r="G466" s="89"/>
      <c r="H466" s="89"/>
      <c r="I466" s="89"/>
      <c r="J466" s="89"/>
      <c r="K466" s="90"/>
      <c r="L466" s="91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92"/>
      <c r="AD466" s="2"/>
      <c r="AE466" s="2"/>
      <c r="AF466" s="2"/>
      <c r="AG466" s="2"/>
      <c r="AH466" s="2"/>
      <c r="AI466" s="2"/>
      <c r="AJ466" s="2"/>
      <c r="AK466" s="2"/>
      <c r="AL466" s="54"/>
      <c r="AM466" s="54"/>
      <c r="AN466" s="54"/>
      <c r="AO466" s="54"/>
    </row>
    <row r="467" customFormat="false" ht="11.25" hidden="false" customHeight="true" outlineLevel="0" collapsed="false">
      <c r="A467" s="83"/>
      <c r="B467" s="84"/>
      <c r="C467" s="85"/>
      <c r="D467" s="93"/>
      <c r="E467" s="85"/>
      <c r="F467" s="88"/>
      <c r="G467" s="89"/>
      <c r="H467" s="89"/>
      <c r="I467" s="89"/>
      <c r="J467" s="89"/>
      <c r="K467" s="90"/>
      <c r="L467" s="91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92"/>
      <c r="AD467" s="2"/>
      <c r="AE467" s="2"/>
      <c r="AF467" s="2"/>
      <c r="AG467" s="2"/>
      <c r="AH467" s="2"/>
      <c r="AI467" s="2"/>
      <c r="AJ467" s="2"/>
      <c r="AK467" s="2"/>
      <c r="AL467" s="54"/>
      <c r="AM467" s="54"/>
      <c r="AN467" s="54"/>
      <c r="AO467" s="54"/>
    </row>
    <row r="468" customFormat="false" ht="11.25" hidden="false" customHeight="true" outlineLevel="0" collapsed="false">
      <c r="A468" s="83"/>
      <c r="B468" s="84"/>
      <c r="C468" s="85"/>
      <c r="D468" s="93"/>
      <c r="E468" s="85"/>
      <c r="F468" s="88"/>
      <c r="G468" s="89"/>
      <c r="H468" s="89"/>
      <c r="I468" s="89"/>
      <c r="J468" s="89"/>
      <c r="K468" s="90"/>
      <c r="L468" s="91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92"/>
      <c r="AD468" s="2"/>
      <c r="AE468" s="2"/>
      <c r="AF468" s="2"/>
      <c r="AG468" s="2"/>
      <c r="AH468" s="2"/>
      <c r="AI468" s="2"/>
      <c r="AJ468" s="2"/>
      <c r="AK468" s="2"/>
      <c r="AL468" s="54"/>
      <c r="AM468" s="54"/>
      <c r="AN468" s="54"/>
      <c r="AO468" s="54"/>
    </row>
    <row r="469" customFormat="false" ht="11.25" hidden="false" customHeight="true" outlineLevel="0" collapsed="false">
      <c r="A469" s="83"/>
      <c r="B469" s="84"/>
      <c r="C469" s="85"/>
      <c r="D469" s="93"/>
      <c r="E469" s="85"/>
      <c r="F469" s="88"/>
      <c r="G469" s="89"/>
      <c r="H469" s="89"/>
      <c r="I469" s="89"/>
      <c r="J469" s="89"/>
      <c r="K469" s="90"/>
      <c r="L469" s="91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92"/>
      <c r="AD469" s="2"/>
      <c r="AE469" s="2"/>
      <c r="AF469" s="2"/>
      <c r="AG469" s="2"/>
      <c r="AH469" s="2"/>
      <c r="AI469" s="2"/>
      <c r="AJ469" s="2"/>
      <c r="AK469" s="2"/>
      <c r="AL469" s="54"/>
      <c r="AM469" s="54"/>
      <c r="AN469" s="54"/>
      <c r="AO469" s="54"/>
    </row>
    <row r="470" customFormat="false" ht="11.25" hidden="false" customHeight="true" outlineLevel="0" collapsed="false">
      <c r="A470" s="83"/>
      <c r="B470" s="84"/>
      <c r="C470" s="85"/>
      <c r="D470" s="93"/>
      <c r="E470" s="85"/>
      <c r="F470" s="88"/>
      <c r="G470" s="89"/>
      <c r="H470" s="89"/>
      <c r="I470" s="89"/>
      <c r="J470" s="89"/>
      <c r="K470" s="90"/>
      <c r="L470" s="91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92"/>
      <c r="AD470" s="2"/>
      <c r="AE470" s="2"/>
      <c r="AF470" s="2"/>
      <c r="AG470" s="2"/>
      <c r="AH470" s="2"/>
      <c r="AI470" s="2"/>
      <c r="AJ470" s="2"/>
      <c r="AK470" s="2"/>
      <c r="AL470" s="54"/>
      <c r="AM470" s="54"/>
      <c r="AN470" s="54"/>
      <c r="AO470" s="54"/>
    </row>
    <row r="471" customFormat="false" ht="11.25" hidden="false" customHeight="true" outlineLevel="0" collapsed="false">
      <c r="A471" s="83"/>
      <c r="B471" s="84"/>
      <c r="C471" s="85"/>
      <c r="D471" s="93"/>
      <c r="E471" s="85"/>
      <c r="F471" s="88"/>
      <c r="G471" s="89"/>
      <c r="H471" s="89"/>
      <c r="I471" s="89"/>
      <c r="J471" s="89"/>
      <c r="K471" s="90"/>
      <c r="L471" s="91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92"/>
      <c r="AD471" s="2"/>
      <c r="AE471" s="2"/>
      <c r="AF471" s="2"/>
      <c r="AG471" s="2"/>
      <c r="AH471" s="2"/>
      <c r="AI471" s="2"/>
      <c r="AJ471" s="2"/>
      <c r="AK471" s="2"/>
      <c r="AL471" s="54"/>
      <c r="AM471" s="54"/>
      <c r="AN471" s="54"/>
      <c r="AO471" s="54"/>
    </row>
    <row r="472" customFormat="false" ht="11.25" hidden="false" customHeight="true" outlineLevel="0" collapsed="false">
      <c r="A472" s="83"/>
      <c r="B472" s="84"/>
      <c r="C472" s="85"/>
      <c r="D472" s="93"/>
      <c r="E472" s="85"/>
      <c r="F472" s="88"/>
      <c r="G472" s="89"/>
      <c r="H472" s="89"/>
      <c r="I472" s="89"/>
      <c r="J472" s="89"/>
      <c r="K472" s="90"/>
      <c r="L472" s="91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92"/>
      <c r="AD472" s="2"/>
      <c r="AE472" s="2"/>
      <c r="AF472" s="2"/>
      <c r="AG472" s="2"/>
      <c r="AH472" s="2"/>
      <c r="AI472" s="2"/>
      <c r="AJ472" s="2"/>
      <c r="AK472" s="2"/>
      <c r="AL472" s="54"/>
      <c r="AM472" s="54"/>
      <c r="AN472" s="54"/>
      <c r="AO472" s="54"/>
    </row>
    <row r="473" customFormat="false" ht="11.25" hidden="false" customHeight="true" outlineLevel="0" collapsed="false">
      <c r="A473" s="83"/>
      <c r="B473" s="84"/>
      <c r="C473" s="85"/>
      <c r="D473" s="93"/>
      <c r="E473" s="85"/>
      <c r="F473" s="88"/>
      <c r="G473" s="89"/>
      <c r="H473" s="89"/>
      <c r="I473" s="89"/>
      <c r="J473" s="89"/>
      <c r="K473" s="90"/>
      <c r="L473" s="91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92"/>
      <c r="AD473" s="2"/>
      <c r="AE473" s="2"/>
      <c r="AF473" s="2"/>
      <c r="AG473" s="2"/>
      <c r="AH473" s="2"/>
      <c r="AI473" s="2"/>
      <c r="AJ473" s="2"/>
      <c r="AK473" s="2"/>
      <c r="AL473" s="54"/>
      <c r="AM473" s="54"/>
      <c r="AN473" s="54"/>
      <c r="AO473" s="54"/>
    </row>
    <row r="474" customFormat="false" ht="11.25" hidden="false" customHeight="true" outlineLevel="0" collapsed="false">
      <c r="A474" s="83"/>
      <c r="B474" s="84"/>
      <c r="C474" s="85"/>
      <c r="D474" s="93"/>
      <c r="E474" s="85"/>
      <c r="F474" s="88"/>
      <c r="G474" s="89"/>
      <c r="H474" s="89"/>
      <c r="I474" s="89"/>
      <c r="J474" s="89"/>
      <c r="K474" s="90"/>
      <c r="L474" s="91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92"/>
      <c r="AD474" s="2"/>
      <c r="AE474" s="2"/>
      <c r="AF474" s="2"/>
      <c r="AG474" s="2"/>
      <c r="AH474" s="2"/>
      <c r="AI474" s="2"/>
      <c r="AJ474" s="2"/>
      <c r="AK474" s="2"/>
      <c r="AL474" s="54"/>
      <c r="AM474" s="54"/>
      <c r="AN474" s="54"/>
      <c r="AO474" s="54"/>
    </row>
    <row r="475" customFormat="false" ht="11.25" hidden="false" customHeight="true" outlineLevel="0" collapsed="false">
      <c r="A475" s="83"/>
      <c r="B475" s="84"/>
      <c r="C475" s="85"/>
      <c r="D475" s="93"/>
      <c r="E475" s="85"/>
      <c r="F475" s="88"/>
      <c r="G475" s="89"/>
      <c r="H475" s="89"/>
      <c r="I475" s="89"/>
      <c r="J475" s="89"/>
      <c r="K475" s="90"/>
      <c r="L475" s="91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92"/>
      <c r="AD475" s="2"/>
      <c r="AE475" s="2"/>
      <c r="AF475" s="2"/>
      <c r="AG475" s="2"/>
      <c r="AH475" s="2"/>
      <c r="AI475" s="2"/>
      <c r="AJ475" s="2"/>
      <c r="AK475" s="2"/>
      <c r="AL475" s="54"/>
      <c r="AM475" s="54"/>
      <c r="AN475" s="54"/>
      <c r="AO475" s="54"/>
    </row>
    <row r="476" customFormat="false" ht="11.25" hidden="false" customHeight="true" outlineLevel="0" collapsed="false">
      <c r="A476" s="83"/>
      <c r="B476" s="84"/>
      <c r="C476" s="85"/>
      <c r="D476" s="93"/>
      <c r="E476" s="85"/>
      <c r="F476" s="88"/>
      <c r="G476" s="89"/>
      <c r="H476" s="89"/>
      <c r="I476" s="89"/>
      <c r="J476" s="89"/>
      <c r="K476" s="90"/>
      <c r="L476" s="91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92"/>
      <c r="AD476" s="2"/>
      <c r="AE476" s="2"/>
      <c r="AF476" s="2"/>
      <c r="AG476" s="2"/>
      <c r="AH476" s="2"/>
      <c r="AI476" s="2"/>
      <c r="AJ476" s="2"/>
      <c r="AK476" s="2"/>
      <c r="AL476" s="54"/>
      <c r="AM476" s="54"/>
      <c r="AN476" s="54"/>
      <c r="AO476" s="54"/>
    </row>
    <row r="477" customFormat="false" ht="11.25" hidden="false" customHeight="true" outlineLevel="0" collapsed="false">
      <c r="A477" s="83"/>
      <c r="B477" s="84"/>
      <c r="C477" s="85"/>
      <c r="D477" s="93"/>
      <c r="E477" s="85"/>
      <c r="F477" s="88"/>
      <c r="G477" s="89"/>
      <c r="H477" s="89"/>
      <c r="I477" s="89"/>
      <c r="J477" s="89"/>
      <c r="K477" s="90"/>
      <c r="L477" s="91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92"/>
      <c r="AD477" s="2"/>
      <c r="AE477" s="2"/>
      <c r="AF477" s="2"/>
      <c r="AG477" s="2"/>
      <c r="AH477" s="2"/>
      <c r="AI477" s="2"/>
      <c r="AJ477" s="2"/>
      <c r="AK477" s="2"/>
      <c r="AL477" s="54"/>
      <c r="AM477" s="54"/>
      <c r="AN477" s="54"/>
      <c r="AO477" s="54"/>
    </row>
    <row r="478" customFormat="false" ht="11.25" hidden="false" customHeight="true" outlineLevel="0" collapsed="false">
      <c r="A478" s="83"/>
      <c r="B478" s="84"/>
      <c r="C478" s="85"/>
      <c r="D478" s="93"/>
      <c r="E478" s="85"/>
      <c r="F478" s="88"/>
      <c r="G478" s="89"/>
      <c r="H478" s="89"/>
      <c r="I478" s="89"/>
      <c r="J478" s="89"/>
      <c r="K478" s="90"/>
      <c r="L478" s="91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92"/>
      <c r="AD478" s="2"/>
      <c r="AE478" s="2"/>
      <c r="AF478" s="2"/>
      <c r="AG478" s="2"/>
      <c r="AH478" s="2"/>
      <c r="AI478" s="2"/>
      <c r="AJ478" s="2"/>
      <c r="AK478" s="2"/>
      <c r="AL478" s="54"/>
      <c r="AM478" s="54"/>
      <c r="AN478" s="54"/>
      <c r="AO478" s="54"/>
    </row>
    <row r="479" customFormat="false" ht="11.25" hidden="false" customHeight="true" outlineLevel="0" collapsed="false">
      <c r="A479" s="83"/>
      <c r="B479" s="84"/>
      <c r="C479" s="85"/>
      <c r="D479" s="93"/>
      <c r="E479" s="85"/>
      <c r="F479" s="88"/>
      <c r="G479" s="89"/>
      <c r="H479" s="89"/>
      <c r="I479" s="89"/>
      <c r="J479" s="89"/>
      <c r="K479" s="90"/>
      <c r="L479" s="91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92"/>
      <c r="AD479" s="2"/>
      <c r="AE479" s="2"/>
      <c r="AF479" s="2"/>
      <c r="AG479" s="2"/>
      <c r="AH479" s="2"/>
      <c r="AI479" s="2"/>
      <c r="AJ479" s="2"/>
      <c r="AK479" s="2"/>
      <c r="AL479" s="54"/>
      <c r="AM479" s="54"/>
      <c r="AN479" s="54"/>
      <c r="AO479" s="54"/>
    </row>
    <row r="480" customFormat="false" ht="11.25" hidden="false" customHeight="true" outlineLevel="0" collapsed="false">
      <c r="A480" s="83"/>
      <c r="B480" s="84"/>
      <c r="C480" s="85"/>
      <c r="D480" s="93"/>
      <c r="E480" s="85"/>
      <c r="F480" s="88"/>
      <c r="G480" s="89"/>
      <c r="H480" s="89"/>
      <c r="I480" s="89"/>
      <c r="J480" s="89"/>
      <c r="K480" s="90"/>
      <c r="L480" s="91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92"/>
      <c r="AD480" s="2"/>
      <c r="AE480" s="2"/>
      <c r="AF480" s="2"/>
      <c r="AG480" s="2"/>
      <c r="AH480" s="2"/>
      <c r="AI480" s="2"/>
      <c r="AJ480" s="2"/>
      <c r="AK480" s="2"/>
      <c r="AL480" s="54"/>
      <c r="AM480" s="54"/>
      <c r="AN480" s="54"/>
      <c r="AO480" s="54"/>
    </row>
    <row r="481" customFormat="false" ht="11.25" hidden="false" customHeight="true" outlineLevel="0" collapsed="false">
      <c r="A481" s="83"/>
      <c r="B481" s="84"/>
      <c r="C481" s="85"/>
      <c r="D481" s="93"/>
      <c r="E481" s="85"/>
      <c r="F481" s="88"/>
      <c r="G481" s="89"/>
      <c r="H481" s="89"/>
      <c r="I481" s="89"/>
      <c r="J481" s="89"/>
      <c r="K481" s="90"/>
      <c r="L481" s="91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92"/>
      <c r="AD481" s="2"/>
      <c r="AE481" s="2"/>
      <c r="AF481" s="2"/>
      <c r="AG481" s="2"/>
      <c r="AH481" s="2"/>
      <c r="AI481" s="2"/>
      <c r="AJ481" s="2"/>
      <c r="AK481" s="2"/>
      <c r="AL481" s="54"/>
      <c r="AM481" s="54"/>
      <c r="AN481" s="54"/>
      <c r="AO481" s="54"/>
    </row>
    <row r="482" customFormat="false" ht="11.25" hidden="false" customHeight="true" outlineLevel="0" collapsed="false">
      <c r="A482" s="83"/>
      <c r="B482" s="84"/>
      <c r="C482" s="85"/>
      <c r="D482" s="93"/>
      <c r="E482" s="85"/>
      <c r="F482" s="88"/>
      <c r="G482" s="89"/>
      <c r="H482" s="89"/>
      <c r="I482" s="89"/>
      <c r="J482" s="89"/>
      <c r="K482" s="90"/>
      <c r="L482" s="91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92"/>
      <c r="AD482" s="2"/>
      <c r="AE482" s="2"/>
      <c r="AF482" s="2"/>
      <c r="AG482" s="2"/>
      <c r="AH482" s="2"/>
      <c r="AI482" s="2"/>
      <c r="AJ482" s="2"/>
      <c r="AK482" s="2"/>
      <c r="AL482" s="54"/>
      <c r="AM482" s="54"/>
      <c r="AN482" s="54"/>
      <c r="AO482" s="54"/>
    </row>
    <row r="483" customFormat="false" ht="11.25" hidden="false" customHeight="true" outlineLevel="0" collapsed="false">
      <c r="A483" s="83"/>
      <c r="B483" s="84"/>
      <c r="C483" s="85"/>
      <c r="D483" s="93"/>
      <c r="E483" s="85"/>
      <c r="F483" s="88"/>
      <c r="G483" s="89"/>
      <c r="H483" s="89"/>
      <c r="I483" s="89"/>
      <c r="J483" s="89"/>
      <c r="K483" s="90"/>
      <c r="L483" s="91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92"/>
      <c r="AD483" s="2"/>
      <c r="AE483" s="2"/>
      <c r="AF483" s="2"/>
      <c r="AG483" s="2"/>
      <c r="AH483" s="2"/>
      <c r="AI483" s="2"/>
      <c r="AJ483" s="2"/>
      <c r="AK483" s="2"/>
      <c r="AL483" s="54"/>
      <c r="AM483" s="54"/>
      <c r="AN483" s="54"/>
      <c r="AO483" s="54"/>
    </row>
    <row r="484" customFormat="false" ht="11.25" hidden="false" customHeight="true" outlineLevel="0" collapsed="false">
      <c r="A484" s="83"/>
      <c r="B484" s="84"/>
      <c r="C484" s="85"/>
      <c r="D484" s="93"/>
      <c r="E484" s="85"/>
      <c r="F484" s="88"/>
      <c r="G484" s="89"/>
      <c r="H484" s="89"/>
      <c r="I484" s="89"/>
      <c r="J484" s="89"/>
      <c r="K484" s="90"/>
      <c r="L484" s="91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92"/>
      <c r="AD484" s="2"/>
      <c r="AE484" s="2"/>
      <c r="AF484" s="2"/>
      <c r="AG484" s="2"/>
      <c r="AH484" s="2"/>
      <c r="AI484" s="2"/>
      <c r="AJ484" s="2"/>
      <c r="AK484" s="2"/>
      <c r="AL484" s="54"/>
      <c r="AM484" s="54"/>
      <c r="AN484" s="54"/>
      <c r="AO484" s="54"/>
    </row>
    <row r="485" customFormat="false" ht="11.25" hidden="false" customHeight="true" outlineLevel="0" collapsed="false">
      <c r="A485" s="83"/>
      <c r="B485" s="84"/>
      <c r="C485" s="85"/>
      <c r="D485" s="93"/>
      <c r="E485" s="85"/>
      <c r="F485" s="88"/>
      <c r="G485" s="89"/>
      <c r="H485" s="89"/>
      <c r="I485" s="89"/>
      <c r="J485" s="89"/>
      <c r="K485" s="90"/>
      <c r="L485" s="91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92"/>
      <c r="AD485" s="2"/>
      <c r="AE485" s="2"/>
      <c r="AF485" s="2"/>
      <c r="AG485" s="2"/>
      <c r="AH485" s="2"/>
      <c r="AI485" s="2"/>
      <c r="AJ485" s="2"/>
      <c r="AK485" s="2"/>
      <c r="AL485" s="54"/>
      <c r="AM485" s="54"/>
      <c r="AN485" s="54"/>
      <c r="AO485" s="54"/>
    </row>
    <row r="486" customFormat="false" ht="11.25" hidden="false" customHeight="true" outlineLevel="0" collapsed="false">
      <c r="A486" s="83"/>
      <c r="B486" s="84"/>
      <c r="C486" s="85"/>
      <c r="D486" s="93"/>
      <c r="E486" s="85"/>
      <c r="F486" s="88"/>
      <c r="G486" s="89"/>
      <c r="H486" s="89"/>
      <c r="I486" s="89"/>
      <c r="J486" s="89"/>
      <c r="K486" s="90"/>
      <c r="L486" s="91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92"/>
      <c r="AD486" s="2"/>
      <c r="AE486" s="2"/>
      <c r="AF486" s="2"/>
      <c r="AG486" s="2"/>
      <c r="AH486" s="2"/>
      <c r="AI486" s="2"/>
      <c r="AJ486" s="2"/>
      <c r="AK486" s="2"/>
      <c r="AL486" s="54"/>
      <c r="AM486" s="54"/>
      <c r="AN486" s="54"/>
      <c r="AO486" s="54"/>
    </row>
    <row r="487" customFormat="false" ht="11.25" hidden="false" customHeight="true" outlineLevel="0" collapsed="false">
      <c r="A487" s="83"/>
      <c r="B487" s="84"/>
      <c r="C487" s="85"/>
      <c r="D487" s="93"/>
      <c r="E487" s="85"/>
      <c r="F487" s="88"/>
      <c r="G487" s="89"/>
      <c r="H487" s="89"/>
      <c r="I487" s="89"/>
      <c r="J487" s="89"/>
      <c r="K487" s="90"/>
      <c r="L487" s="91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92"/>
      <c r="AD487" s="2"/>
      <c r="AE487" s="2"/>
      <c r="AF487" s="2"/>
      <c r="AG487" s="2"/>
      <c r="AH487" s="2"/>
      <c r="AI487" s="2"/>
      <c r="AJ487" s="2"/>
      <c r="AK487" s="2"/>
      <c r="AL487" s="54"/>
      <c r="AM487" s="54"/>
      <c r="AN487" s="54"/>
      <c r="AO487" s="54"/>
    </row>
    <row r="488" customFormat="false" ht="11.25" hidden="false" customHeight="true" outlineLevel="0" collapsed="false">
      <c r="A488" s="83"/>
      <c r="B488" s="84"/>
      <c r="C488" s="85"/>
      <c r="D488" s="93"/>
      <c r="E488" s="85"/>
      <c r="F488" s="88"/>
      <c r="G488" s="89"/>
      <c r="H488" s="89"/>
      <c r="I488" s="89"/>
      <c r="J488" s="89"/>
      <c r="K488" s="90"/>
      <c r="L488" s="91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92"/>
      <c r="AD488" s="2"/>
      <c r="AE488" s="2"/>
      <c r="AF488" s="2"/>
      <c r="AG488" s="2"/>
      <c r="AH488" s="2"/>
      <c r="AI488" s="2"/>
      <c r="AJ488" s="2"/>
      <c r="AK488" s="2"/>
      <c r="AL488" s="54"/>
      <c r="AM488" s="54"/>
      <c r="AN488" s="54"/>
      <c r="AO488" s="54"/>
    </row>
    <row r="489" customFormat="false" ht="11.25" hidden="false" customHeight="true" outlineLevel="0" collapsed="false">
      <c r="A489" s="83"/>
      <c r="B489" s="84"/>
      <c r="C489" s="85"/>
      <c r="D489" s="93"/>
      <c r="E489" s="85"/>
      <c r="F489" s="88"/>
      <c r="G489" s="89"/>
      <c r="H489" s="89"/>
      <c r="I489" s="89"/>
      <c r="J489" s="89"/>
      <c r="K489" s="90"/>
      <c r="L489" s="91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92"/>
      <c r="AD489" s="2"/>
      <c r="AE489" s="2"/>
      <c r="AF489" s="2"/>
      <c r="AG489" s="2"/>
      <c r="AH489" s="2"/>
      <c r="AI489" s="2"/>
      <c r="AJ489" s="2"/>
      <c r="AK489" s="2"/>
      <c r="AL489" s="54"/>
      <c r="AM489" s="54"/>
      <c r="AN489" s="54"/>
      <c r="AO489" s="54"/>
    </row>
    <row r="490" customFormat="false" ht="11.25" hidden="false" customHeight="true" outlineLevel="0" collapsed="false">
      <c r="A490" s="83"/>
      <c r="B490" s="84"/>
      <c r="C490" s="85"/>
      <c r="D490" s="93"/>
      <c r="E490" s="85"/>
      <c r="F490" s="88"/>
      <c r="G490" s="89"/>
      <c r="H490" s="89"/>
      <c r="I490" s="89"/>
      <c r="J490" s="89"/>
      <c r="K490" s="90"/>
      <c r="L490" s="91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92"/>
      <c r="AD490" s="2"/>
      <c r="AE490" s="2"/>
      <c r="AF490" s="2"/>
      <c r="AG490" s="2"/>
      <c r="AH490" s="2"/>
      <c r="AI490" s="2"/>
      <c r="AJ490" s="2"/>
      <c r="AK490" s="2"/>
      <c r="AL490" s="54"/>
      <c r="AM490" s="54"/>
      <c r="AN490" s="54"/>
      <c r="AO490" s="54"/>
    </row>
    <row r="491" customFormat="false" ht="11.25" hidden="false" customHeight="true" outlineLevel="0" collapsed="false">
      <c r="A491" s="83"/>
      <c r="B491" s="84"/>
      <c r="C491" s="85"/>
      <c r="D491" s="93"/>
      <c r="E491" s="85"/>
      <c r="F491" s="88"/>
      <c r="G491" s="89"/>
      <c r="H491" s="89"/>
      <c r="I491" s="89"/>
      <c r="J491" s="89"/>
      <c r="K491" s="90"/>
      <c r="L491" s="91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92"/>
      <c r="AD491" s="2"/>
      <c r="AE491" s="2"/>
      <c r="AF491" s="2"/>
      <c r="AG491" s="2"/>
      <c r="AH491" s="2"/>
      <c r="AI491" s="2"/>
      <c r="AJ491" s="2"/>
      <c r="AK491" s="2"/>
      <c r="AL491" s="54"/>
      <c r="AM491" s="54"/>
      <c r="AN491" s="54"/>
      <c r="AO491" s="54"/>
    </row>
    <row r="492" customFormat="false" ht="11.25" hidden="false" customHeight="true" outlineLevel="0" collapsed="false">
      <c r="A492" s="83"/>
      <c r="B492" s="84"/>
      <c r="C492" s="85"/>
      <c r="D492" s="93"/>
      <c r="E492" s="85"/>
      <c r="F492" s="88"/>
      <c r="G492" s="89"/>
      <c r="H492" s="89"/>
      <c r="I492" s="89"/>
      <c r="J492" s="89"/>
      <c r="K492" s="90"/>
      <c r="L492" s="91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92"/>
      <c r="AD492" s="2"/>
      <c r="AE492" s="2"/>
      <c r="AF492" s="2"/>
      <c r="AG492" s="2"/>
      <c r="AH492" s="2"/>
      <c r="AI492" s="2"/>
      <c r="AJ492" s="2"/>
      <c r="AK492" s="2"/>
      <c r="AL492" s="54"/>
      <c r="AM492" s="54"/>
      <c r="AN492" s="54"/>
      <c r="AO492" s="54"/>
    </row>
    <row r="493" customFormat="false" ht="11.25" hidden="false" customHeight="true" outlineLevel="0" collapsed="false">
      <c r="A493" s="83"/>
      <c r="B493" s="84"/>
      <c r="C493" s="85"/>
      <c r="D493" s="93"/>
      <c r="E493" s="85"/>
      <c r="F493" s="88"/>
      <c r="G493" s="89"/>
      <c r="H493" s="89"/>
      <c r="I493" s="89"/>
      <c r="J493" s="89"/>
      <c r="K493" s="90"/>
      <c r="L493" s="91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92"/>
      <c r="AD493" s="2"/>
      <c r="AE493" s="2"/>
      <c r="AF493" s="2"/>
      <c r="AG493" s="2"/>
      <c r="AH493" s="2"/>
      <c r="AI493" s="2"/>
      <c r="AJ493" s="2"/>
      <c r="AK493" s="2"/>
      <c r="AL493" s="54"/>
      <c r="AM493" s="54"/>
      <c r="AN493" s="54"/>
      <c r="AO493" s="54"/>
    </row>
    <row r="494" customFormat="false" ht="11.25" hidden="false" customHeight="true" outlineLevel="0" collapsed="false">
      <c r="A494" s="83"/>
      <c r="B494" s="84"/>
      <c r="C494" s="85"/>
      <c r="D494" s="93"/>
      <c r="E494" s="85"/>
      <c r="F494" s="88"/>
      <c r="G494" s="89"/>
      <c r="H494" s="89"/>
      <c r="I494" s="89"/>
      <c r="J494" s="89"/>
      <c r="K494" s="90"/>
      <c r="L494" s="91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92"/>
      <c r="AD494" s="2"/>
      <c r="AE494" s="2"/>
      <c r="AF494" s="2"/>
      <c r="AG494" s="2"/>
      <c r="AH494" s="2"/>
      <c r="AI494" s="2"/>
      <c r="AJ494" s="2"/>
      <c r="AK494" s="2"/>
      <c r="AL494" s="54"/>
      <c r="AM494" s="54"/>
      <c r="AN494" s="54"/>
      <c r="AO494" s="54"/>
    </row>
    <row r="495" customFormat="false" ht="11.25" hidden="false" customHeight="true" outlineLevel="0" collapsed="false">
      <c r="A495" s="83"/>
      <c r="B495" s="84"/>
      <c r="C495" s="85"/>
      <c r="D495" s="93"/>
      <c r="E495" s="85"/>
      <c r="F495" s="88"/>
      <c r="G495" s="89"/>
      <c r="H495" s="89"/>
      <c r="I495" s="89"/>
      <c r="J495" s="89"/>
      <c r="K495" s="90"/>
      <c r="L495" s="91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92"/>
      <c r="AD495" s="2"/>
      <c r="AE495" s="2"/>
      <c r="AF495" s="2"/>
      <c r="AG495" s="2"/>
      <c r="AH495" s="2"/>
      <c r="AI495" s="2"/>
      <c r="AJ495" s="2"/>
      <c r="AK495" s="2"/>
      <c r="AL495" s="54"/>
      <c r="AM495" s="54"/>
      <c r="AN495" s="54"/>
      <c r="AO495" s="54"/>
    </row>
    <row r="496" customFormat="false" ht="11.25" hidden="false" customHeight="true" outlineLevel="0" collapsed="false">
      <c r="A496" s="83"/>
      <c r="B496" s="84"/>
      <c r="C496" s="85"/>
      <c r="D496" s="93"/>
      <c r="E496" s="85"/>
      <c r="F496" s="88"/>
      <c r="G496" s="89"/>
      <c r="H496" s="89"/>
      <c r="I496" s="89"/>
      <c r="J496" s="89"/>
      <c r="K496" s="90"/>
      <c r="L496" s="91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92"/>
      <c r="AD496" s="2"/>
      <c r="AE496" s="2"/>
      <c r="AF496" s="2"/>
      <c r="AG496" s="2"/>
      <c r="AH496" s="2"/>
      <c r="AI496" s="2"/>
      <c r="AJ496" s="2"/>
      <c r="AK496" s="2"/>
      <c r="AL496" s="54"/>
      <c r="AM496" s="54"/>
      <c r="AN496" s="54"/>
      <c r="AO496" s="54"/>
    </row>
    <row r="497" customFormat="false" ht="11.25" hidden="false" customHeight="true" outlineLevel="0" collapsed="false">
      <c r="A497" s="83"/>
      <c r="B497" s="84"/>
      <c r="C497" s="85"/>
      <c r="D497" s="93"/>
      <c r="E497" s="85"/>
      <c r="F497" s="88"/>
      <c r="G497" s="89"/>
      <c r="H497" s="89"/>
      <c r="I497" s="89"/>
      <c r="J497" s="89"/>
      <c r="K497" s="90"/>
      <c r="L497" s="91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92"/>
      <c r="AD497" s="2"/>
      <c r="AE497" s="2"/>
      <c r="AF497" s="2"/>
      <c r="AG497" s="2"/>
      <c r="AH497" s="2"/>
      <c r="AI497" s="2"/>
      <c r="AJ497" s="2"/>
      <c r="AK497" s="2"/>
      <c r="AL497" s="54"/>
      <c r="AM497" s="54"/>
      <c r="AN497" s="54"/>
      <c r="AO497" s="54"/>
    </row>
    <row r="498" customFormat="false" ht="11.25" hidden="false" customHeight="true" outlineLevel="0" collapsed="false">
      <c r="A498" s="83"/>
      <c r="B498" s="84"/>
      <c r="C498" s="85"/>
      <c r="D498" s="93"/>
      <c r="E498" s="85"/>
      <c r="F498" s="88"/>
      <c r="G498" s="89"/>
      <c r="H498" s="89"/>
      <c r="I498" s="89"/>
      <c r="J498" s="89"/>
      <c r="K498" s="90"/>
      <c r="L498" s="91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92"/>
      <c r="AD498" s="2"/>
      <c r="AE498" s="2"/>
      <c r="AF498" s="2"/>
      <c r="AG498" s="2"/>
      <c r="AH498" s="2"/>
      <c r="AI498" s="2"/>
      <c r="AJ498" s="2"/>
      <c r="AK498" s="2"/>
      <c r="AL498" s="54"/>
      <c r="AM498" s="54"/>
      <c r="AN498" s="54"/>
      <c r="AO498" s="54"/>
    </row>
    <row r="499" customFormat="false" ht="11.25" hidden="false" customHeight="true" outlineLevel="0" collapsed="false">
      <c r="A499" s="83"/>
      <c r="B499" s="84"/>
      <c r="C499" s="85"/>
      <c r="D499" s="93"/>
      <c r="E499" s="85"/>
      <c r="F499" s="88"/>
      <c r="G499" s="89"/>
      <c r="H499" s="89"/>
      <c r="I499" s="89"/>
      <c r="J499" s="89"/>
      <c r="K499" s="90"/>
      <c r="L499" s="91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92"/>
      <c r="AD499" s="2"/>
      <c r="AE499" s="2"/>
      <c r="AF499" s="2"/>
      <c r="AG499" s="2"/>
      <c r="AH499" s="2"/>
      <c r="AI499" s="2"/>
      <c r="AJ499" s="2"/>
      <c r="AK499" s="2"/>
      <c r="AL499" s="54"/>
      <c r="AM499" s="54"/>
      <c r="AN499" s="54"/>
      <c r="AO499" s="54"/>
    </row>
    <row r="500" customFormat="false" ht="11.25" hidden="false" customHeight="true" outlineLevel="0" collapsed="false">
      <c r="A500" s="83"/>
      <c r="B500" s="84"/>
      <c r="C500" s="85"/>
      <c r="D500" s="93"/>
      <c r="E500" s="85"/>
      <c r="F500" s="88"/>
      <c r="G500" s="89"/>
      <c r="H500" s="89"/>
      <c r="I500" s="89"/>
      <c r="J500" s="89"/>
      <c r="K500" s="90"/>
      <c r="L500" s="91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92"/>
      <c r="AD500" s="2"/>
      <c r="AE500" s="2"/>
      <c r="AF500" s="2"/>
      <c r="AG500" s="2"/>
      <c r="AH500" s="2"/>
      <c r="AI500" s="2"/>
      <c r="AJ500" s="2"/>
      <c r="AK500" s="2"/>
      <c r="AL500" s="54"/>
      <c r="AM500" s="54"/>
      <c r="AN500" s="54"/>
      <c r="AO500" s="54"/>
    </row>
    <row r="501" customFormat="false" ht="11.25" hidden="false" customHeight="true" outlineLevel="0" collapsed="false">
      <c r="A501" s="83"/>
      <c r="B501" s="84"/>
      <c r="C501" s="85"/>
      <c r="D501" s="93"/>
      <c r="E501" s="85"/>
      <c r="F501" s="88"/>
      <c r="G501" s="89"/>
      <c r="H501" s="89"/>
      <c r="I501" s="89"/>
      <c r="J501" s="89"/>
      <c r="K501" s="90"/>
      <c r="L501" s="91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92"/>
      <c r="AD501" s="2"/>
      <c r="AE501" s="2"/>
      <c r="AF501" s="2"/>
      <c r="AG501" s="2"/>
      <c r="AH501" s="2"/>
      <c r="AI501" s="2"/>
      <c r="AJ501" s="2"/>
      <c r="AK501" s="2"/>
      <c r="AL501" s="54"/>
      <c r="AM501" s="54"/>
      <c r="AN501" s="54"/>
      <c r="AO501" s="54"/>
    </row>
    <row r="502" customFormat="false" ht="11.25" hidden="false" customHeight="true" outlineLevel="0" collapsed="false">
      <c r="A502" s="83"/>
      <c r="B502" s="84"/>
      <c r="C502" s="85"/>
      <c r="D502" s="93"/>
      <c r="E502" s="85"/>
      <c r="F502" s="88"/>
      <c r="G502" s="89"/>
      <c r="H502" s="89"/>
      <c r="I502" s="89"/>
      <c r="J502" s="89"/>
      <c r="K502" s="90"/>
      <c r="L502" s="91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92"/>
      <c r="AD502" s="2"/>
      <c r="AE502" s="2"/>
      <c r="AF502" s="2"/>
      <c r="AG502" s="2"/>
      <c r="AH502" s="2"/>
      <c r="AI502" s="2"/>
      <c r="AJ502" s="2"/>
      <c r="AK502" s="2"/>
      <c r="AL502" s="54"/>
      <c r="AM502" s="54"/>
      <c r="AN502" s="54"/>
      <c r="AO502" s="54"/>
    </row>
    <row r="503" customFormat="false" ht="11.25" hidden="false" customHeight="true" outlineLevel="0" collapsed="false">
      <c r="A503" s="83"/>
      <c r="B503" s="84"/>
      <c r="C503" s="85"/>
      <c r="D503" s="93"/>
      <c r="E503" s="85"/>
      <c r="F503" s="88"/>
      <c r="G503" s="89"/>
      <c r="H503" s="89"/>
      <c r="I503" s="89"/>
      <c r="J503" s="89"/>
      <c r="K503" s="90"/>
      <c r="L503" s="91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92"/>
      <c r="AD503" s="2"/>
      <c r="AE503" s="2"/>
      <c r="AF503" s="2"/>
      <c r="AG503" s="2"/>
      <c r="AH503" s="2"/>
      <c r="AI503" s="2"/>
      <c r="AJ503" s="2"/>
      <c r="AK503" s="2"/>
      <c r="AL503" s="54"/>
      <c r="AM503" s="54"/>
      <c r="AN503" s="54"/>
      <c r="AO503" s="54"/>
    </row>
    <row r="504" customFormat="false" ht="11.25" hidden="false" customHeight="true" outlineLevel="0" collapsed="false">
      <c r="A504" s="83"/>
      <c r="B504" s="84"/>
      <c r="C504" s="85"/>
      <c r="D504" s="93"/>
      <c r="E504" s="85"/>
      <c r="F504" s="88"/>
      <c r="G504" s="89"/>
      <c r="H504" s="89"/>
      <c r="I504" s="89"/>
      <c r="J504" s="89"/>
      <c r="K504" s="90"/>
      <c r="L504" s="91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92"/>
      <c r="AD504" s="2"/>
      <c r="AE504" s="2"/>
      <c r="AF504" s="2"/>
      <c r="AG504" s="2"/>
      <c r="AH504" s="2"/>
      <c r="AI504" s="2"/>
      <c r="AJ504" s="2"/>
      <c r="AK504" s="2"/>
      <c r="AL504" s="54"/>
      <c r="AM504" s="54"/>
      <c r="AN504" s="54"/>
      <c r="AO504" s="54"/>
    </row>
    <row r="505" customFormat="false" ht="11.25" hidden="false" customHeight="true" outlineLevel="0" collapsed="false">
      <c r="A505" s="83"/>
      <c r="B505" s="84"/>
      <c r="C505" s="85"/>
      <c r="D505" s="93"/>
      <c r="E505" s="85"/>
      <c r="F505" s="88"/>
      <c r="G505" s="89"/>
      <c r="H505" s="89"/>
      <c r="I505" s="89"/>
      <c r="J505" s="89"/>
      <c r="K505" s="90"/>
      <c r="L505" s="91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92"/>
      <c r="AD505" s="2"/>
      <c r="AE505" s="2"/>
      <c r="AF505" s="2"/>
      <c r="AG505" s="2"/>
      <c r="AH505" s="2"/>
      <c r="AI505" s="2"/>
      <c r="AJ505" s="2"/>
      <c r="AK505" s="2"/>
      <c r="AL505" s="54"/>
      <c r="AM505" s="54"/>
      <c r="AN505" s="54"/>
      <c r="AO505" s="54"/>
    </row>
    <row r="506" customFormat="false" ht="11.25" hidden="false" customHeight="true" outlineLevel="0" collapsed="false">
      <c r="A506" s="83"/>
      <c r="B506" s="84"/>
      <c r="C506" s="85"/>
      <c r="D506" s="93"/>
      <c r="E506" s="85"/>
      <c r="F506" s="88"/>
      <c r="G506" s="89"/>
      <c r="H506" s="89"/>
      <c r="I506" s="89"/>
      <c r="J506" s="89"/>
      <c r="K506" s="90"/>
      <c r="L506" s="91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92"/>
      <c r="AD506" s="2"/>
      <c r="AE506" s="2"/>
      <c r="AF506" s="2"/>
      <c r="AG506" s="2"/>
      <c r="AH506" s="2"/>
      <c r="AI506" s="2"/>
      <c r="AJ506" s="2"/>
      <c r="AK506" s="2"/>
      <c r="AL506" s="54"/>
      <c r="AM506" s="54"/>
      <c r="AN506" s="54"/>
      <c r="AO506" s="54"/>
    </row>
    <row r="507" customFormat="false" ht="11.25" hidden="false" customHeight="true" outlineLevel="0" collapsed="false">
      <c r="A507" s="83"/>
      <c r="B507" s="84"/>
      <c r="C507" s="85"/>
      <c r="D507" s="93"/>
      <c r="E507" s="85"/>
      <c r="F507" s="88"/>
      <c r="G507" s="89"/>
      <c r="H507" s="89"/>
      <c r="I507" s="89"/>
      <c r="J507" s="89"/>
      <c r="K507" s="90"/>
      <c r="L507" s="91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92"/>
      <c r="AD507" s="2"/>
      <c r="AE507" s="2"/>
      <c r="AF507" s="2"/>
      <c r="AG507" s="2"/>
      <c r="AH507" s="2"/>
      <c r="AI507" s="2"/>
      <c r="AJ507" s="2"/>
      <c r="AK507" s="2"/>
      <c r="AL507" s="54"/>
      <c r="AM507" s="54"/>
      <c r="AN507" s="54"/>
      <c r="AO507" s="54"/>
    </row>
    <row r="508" customFormat="false" ht="11.25" hidden="false" customHeight="true" outlineLevel="0" collapsed="false">
      <c r="A508" s="83"/>
      <c r="B508" s="84"/>
      <c r="C508" s="85"/>
      <c r="D508" s="93"/>
      <c r="E508" s="85"/>
      <c r="F508" s="88"/>
      <c r="G508" s="89"/>
      <c r="H508" s="89"/>
      <c r="I508" s="89"/>
      <c r="J508" s="89"/>
      <c r="K508" s="90"/>
      <c r="L508" s="91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92"/>
      <c r="AD508" s="2"/>
      <c r="AE508" s="2"/>
      <c r="AF508" s="2"/>
      <c r="AG508" s="2"/>
      <c r="AH508" s="2"/>
      <c r="AI508" s="2"/>
      <c r="AJ508" s="2"/>
      <c r="AK508" s="2"/>
      <c r="AL508" s="54"/>
      <c r="AM508" s="54"/>
      <c r="AN508" s="54"/>
      <c r="AO508" s="54"/>
    </row>
    <row r="509" customFormat="false" ht="11.25" hidden="false" customHeight="true" outlineLevel="0" collapsed="false">
      <c r="A509" s="83"/>
      <c r="B509" s="84"/>
      <c r="C509" s="85"/>
      <c r="D509" s="93"/>
      <c r="E509" s="85"/>
      <c r="F509" s="88"/>
      <c r="G509" s="89"/>
      <c r="H509" s="89"/>
      <c r="I509" s="89"/>
      <c r="J509" s="89"/>
      <c r="K509" s="90"/>
      <c r="L509" s="91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92"/>
      <c r="AD509" s="2"/>
      <c r="AE509" s="2"/>
      <c r="AF509" s="2"/>
      <c r="AG509" s="2"/>
      <c r="AH509" s="2"/>
      <c r="AI509" s="2"/>
      <c r="AJ509" s="2"/>
      <c r="AK509" s="2"/>
      <c r="AL509" s="54"/>
      <c r="AM509" s="54"/>
      <c r="AN509" s="54"/>
      <c r="AO509" s="54"/>
    </row>
    <row r="510" customFormat="false" ht="11.25" hidden="false" customHeight="true" outlineLevel="0" collapsed="false">
      <c r="A510" s="83"/>
      <c r="B510" s="84"/>
      <c r="C510" s="85"/>
      <c r="D510" s="93"/>
      <c r="E510" s="85"/>
      <c r="F510" s="88"/>
      <c r="G510" s="89"/>
      <c r="H510" s="89"/>
      <c r="I510" s="89"/>
      <c r="J510" s="89"/>
      <c r="K510" s="90"/>
      <c r="L510" s="91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92"/>
      <c r="AD510" s="2"/>
      <c r="AE510" s="2"/>
      <c r="AF510" s="2"/>
      <c r="AG510" s="2"/>
      <c r="AH510" s="2"/>
      <c r="AI510" s="2"/>
      <c r="AJ510" s="2"/>
      <c r="AK510" s="2"/>
      <c r="AL510" s="54"/>
      <c r="AM510" s="54"/>
      <c r="AN510" s="54"/>
      <c r="AO510" s="54"/>
    </row>
    <row r="511" customFormat="false" ht="11.25" hidden="false" customHeight="true" outlineLevel="0" collapsed="false">
      <c r="A511" s="83"/>
      <c r="B511" s="84"/>
      <c r="C511" s="85"/>
      <c r="D511" s="93"/>
      <c r="E511" s="85"/>
      <c r="F511" s="88"/>
      <c r="G511" s="89"/>
      <c r="H511" s="89"/>
      <c r="I511" s="89"/>
      <c r="J511" s="89"/>
      <c r="K511" s="90"/>
      <c r="L511" s="91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92"/>
      <c r="AD511" s="2"/>
      <c r="AE511" s="2"/>
      <c r="AF511" s="2"/>
      <c r="AG511" s="2"/>
      <c r="AH511" s="2"/>
      <c r="AI511" s="2"/>
      <c r="AJ511" s="2"/>
      <c r="AK511" s="2"/>
      <c r="AL511" s="54"/>
      <c r="AM511" s="54"/>
      <c r="AN511" s="54"/>
      <c r="AO511" s="54"/>
    </row>
    <row r="512" customFormat="false" ht="11.25" hidden="false" customHeight="true" outlineLevel="0" collapsed="false">
      <c r="A512" s="83"/>
      <c r="B512" s="84"/>
      <c r="C512" s="85"/>
      <c r="D512" s="93"/>
      <c r="E512" s="85"/>
      <c r="F512" s="88"/>
      <c r="G512" s="89"/>
      <c r="H512" s="89"/>
      <c r="I512" s="89"/>
      <c r="J512" s="89"/>
      <c r="K512" s="90"/>
      <c r="L512" s="91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92"/>
      <c r="AD512" s="2"/>
      <c r="AE512" s="2"/>
      <c r="AF512" s="2"/>
      <c r="AG512" s="2"/>
      <c r="AH512" s="2"/>
      <c r="AI512" s="2"/>
      <c r="AJ512" s="2"/>
      <c r="AK512" s="2"/>
      <c r="AL512" s="54"/>
      <c r="AM512" s="54"/>
      <c r="AN512" s="54"/>
      <c r="AO512" s="54"/>
    </row>
    <row r="513" customFormat="false" ht="11.25" hidden="false" customHeight="true" outlineLevel="0" collapsed="false">
      <c r="A513" s="83"/>
      <c r="B513" s="84"/>
      <c r="C513" s="85"/>
      <c r="D513" s="93"/>
      <c r="E513" s="85"/>
      <c r="F513" s="88"/>
      <c r="G513" s="89"/>
      <c r="H513" s="89"/>
      <c r="I513" s="89"/>
      <c r="J513" s="89"/>
      <c r="K513" s="90"/>
      <c r="L513" s="91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92"/>
      <c r="AD513" s="2"/>
      <c r="AE513" s="2"/>
      <c r="AF513" s="2"/>
      <c r="AG513" s="2"/>
      <c r="AH513" s="2"/>
      <c r="AI513" s="2"/>
      <c r="AJ513" s="2"/>
      <c r="AK513" s="2"/>
      <c r="AL513" s="54"/>
      <c r="AM513" s="54"/>
      <c r="AN513" s="54"/>
      <c r="AO513" s="54"/>
    </row>
    <row r="514" customFormat="false" ht="11.25" hidden="false" customHeight="true" outlineLevel="0" collapsed="false">
      <c r="A514" s="83"/>
      <c r="B514" s="84"/>
      <c r="C514" s="85"/>
      <c r="D514" s="93"/>
      <c r="E514" s="85"/>
      <c r="F514" s="88"/>
      <c r="G514" s="89"/>
      <c r="H514" s="89"/>
      <c r="I514" s="89"/>
      <c r="J514" s="89"/>
      <c r="K514" s="90"/>
      <c r="L514" s="91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92"/>
      <c r="AD514" s="2"/>
      <c r="AE514" s="2"/>
      <c r="AF514" s="2"/>
      <c r="AG514" s="2"/>
      <c r="AH514" s="2"/>
      <c r="AI514" s="2"/>
      <c r="AJ514" s="2"/>
      <c r="AK514" s="2"/>
      <c r="AL514" s="54"/>
      <c r="AM514" s="54"/>
      <c r="AN514" s="54"/>
      <c r="AO514" s="54"/>
    </row>
    <row r="515" customFormat="false" ht="11.25" hidden="false" customHeight="true" outlineLevel="0" collapsed="false">
      <c r="A515" s="83"/>
      <c r="B515" s="84"/>
      <c r="C515" s="85"/>
      <c r="D515" s="93"/>
      <c r="E515" s="85"/>
      <c r="F515" s="88"/>
      <c r="G515" s="89"/>
      <c r="H515" s="89"/>
      <c r="I515" s="89"/>
      <c r="J515" s="89"/>
      <c r="K515" s="90"/>
      <c r="L515" s="91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92"/>
      <c r="AD515" s="2"/>
      <c r="AE515" s="2"/>
      <c r="AF515" s="2"/>
      <c r="AG515" s="2"/>
      <c r="AH515" s="2"/>
      <c r="AI515" s="2"/>
      <c r="AJ515" s="2"/>
      <c r="AK515" s="2"/>
      <c r="AL515" s="54"/>
      <c r="AM515" s="54"/>
      <c r="AN515" s="54"/>
      <c r="AO515" s="54"/>
    </row>
    <row r="516" customFormat="false" ht="11.25" hidden="false" customHeight="true" outlineLevel="0" collapsed="false">
      <c r="A516" s="83"/>
      <c r="B516" s="84"/>
      <c r="C516" s="85"/>
      <c r="D516" s="93"/>
      <c r="E516" s="85"/>
      <c r="F516" s="88"/>
      <c r="G516" s="89"/>
      <c r="H516" s="89"/>
      <c r="I516" s="89"/>
      <c r="J516" s="89"/>
      <c r="K516" s="90"/>
      <c r="L516" s="91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92"/>
      <c r="AD516" s="2"/>
      <c r="AE516" s="2"/>
      <c r="AF516" s="2"/>
      <c r="AG516" s="2"/>
      <c r="AH516" s="2"/>
      <c r="AI516" s="2"/>
      <c r="AJ516" s="2"/>
      <c r="AK516" s="2"/>
      <c r="AL516" s="54"/>
      <c r="AM516" s="54"/>
      <c r="AN516" s="54"/>
      <c r="AO516" s="54"/>
    </row>
    <row r="517" customFormat="false" ht="11.25" hidden="false" customHeight="true" outlineLevel="0" collapsed="false">
      <c r="A517" s="83"/>
      <c r="B517" s="84"/>
      <c r="C517" s="85"/>
      <c r="D517" s="93"/>
      <c r="E517" s="85"/>
      <c r="F517" s="88"/>
      <c r="G517" s="89"/>
      <c r="H517" s="89"/>
      <c r="I517" s="89"/>
      <c r="J517" s="89"/>
      <c r="K517" s="90"/>
      <c r="L517" s="91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92"/>
      <c r="AD517" s="2"/>
      <c r="AE517" s="2"/>
      <c r="AF517" s="2"/>
      <c r="AG517" s="2"/>
      <c r="AH517" s="2"/>
      <c r="AI517" s="2"/>
      <c r="AJ517" s="2"/>
      <c r="AK517" s="2"/>
      <c r="AL517" s="54"/>
      <c r="AM517" s="54"/>
      <c r="AN517" s="54"/>
      <c r="AO517" s="54"/>
    </row>
    <row r="518" customFormat="false" ht="11.25" hidden="false" customHeight="true" outlineLevel="0" collapsed="false">
      <c r="A518" s="83"/>
      <c r="B518" s="84"/>
      <c r="C518" s="85"/>
      <c r="D518" s="93"/>
      <c r="E518" s="85"/>
      <c r="F518" s="88"/>
      <c r="G518" s="89"/>
      <c r="H518" s="89"/>
      <c r="I518" s="89"/>
      <c r="J518" s="89"/>
      <c r="K518" s="90"/>
      <c r="L518" s="91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92"/>
      <c r="AD518" s="2"/>
      <c r="AE518" s="2"/>
      <c r="AF518" s="2"/>
      <c r="AG518" s="2"/>
      <c r="AH518" s="2"/>
      <c r="AI518" s="2"/>
      <c r="AJ518" s="2"/>
      <c r="AK518" s="2"/>
      <c r="AL518" s="54"/>
      <c r="AM518" s="54"/>
      <c r="AN518" s="54"/>
      <c r="AO518" s="54"/>
    </row>
    <row r="519" customFormat="false" ht="11.25" hidden="false" customHeight="true" outlineLevel="0" collapsed="false">
      <c r="A519" s="83"/>
      <c r="B519" s="84"/>
      <c r="C519" s="85"/>
      <c r="D519" s="93"/>
      <c r="E519" s="85"/>
      <c r="F519" s="88"/>
      <c r="G519" s="89"/>
      <c r="H519" s="89"/>
      <c r="I519" s="89"/>
      <c r="J519" s="89"/>
      <c r="K519" s="90"/>
      <c r="L519" s="91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92"/>
      <c r="AD519" s="2"/>
      <c r="AE519" s="2"/>
      <c r="AF519" s="2"/>
      <c r="AG519" s="2"/>
      <c r="AH519" s="2"/>
      <c r="AI519" s="2"/>
      <c r="AJ519" s="2"/>
      <c r="AK519" s="2"/>
      <c r="AL519" s="54"/>
      <c r="AM519" s="54"/>
      <c r="AN519" s="54"/>
      <c r="AO519" s="54"/>
    </row>
    <row r="520" customFormat="false" ht="11.25" hidden="false" customHeight="true" outlineLevel="0" collapsed="false">
      <c r="A520" s="83"/>
      <c r="B520" s="84"/>
      <c r="C520" s="85"/>
      <c r="D520" s="93"/>
      <c r="E520" s="85"/>
      <c r="F520" s="88"/>
      <c r="G520" s="89"/>
      <c r="H520" s="89"/>
      <c r="I520" s="89"/>
      <c r="J520" s="89"/>
      <c r="K520" s="90"/>
      <c r="L520" s="91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92"/>
      <c r="AD520" s="2"/>
      <c r="AE520" s="2"/>
      <c r="AF520" s="2"/>
      <c r="AG520" s="2"/>
      <c r="AH520" s="2"/>
      <c r="AI520" s="2"/>
      <c r="AJ520" s="2"/>
      <c r="AK520" s="2"/>
      <c r="AL520" s="54"/>
      <c r="AM520" s="54"/>
      <c r="AN520" s="54"/>
      <c r="AO520" s="54"/>
    </row>
    <row r="521" customFormat="false" ht="11.25" hidden="false" customHeight="true" outlineLevel="0" collapsed="false">
      <c r="A521" s="83"/>
      <c r="B521" s="84"/>
      <c r="C521" s="85"/>
      <c r="D521" s="93"/>
      <c r="E521" s="85"/>
      <c r="F521" s="88"/>
      <c r="G521" s="89"/>
      <c r="H521" s="89"/>
      <c r="I521" s="89"/>
      <c r="J521" s="89"/>
      <c r="K521" s="90"/>
      <c r="L521" s="91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92"/>
      <c r="AD521" s="2"/>
      <c r="AE521" s="2"/>
      <c r="AF521" s="2"/>
      <c r="AG521" s="2"/>
      <c r="AH521" s="2"/>
      <c r="AI521" s="2"/>
      <c r="AJ521" s="2"/>
      <c r="AK521" s="2"/>
      <c r="AL521" s="54"/>
      <c r="AM521" s="54"/>
      <c r="AN521" s="54"/>
      <c r="AO521" s="54"/>
    </row>
    <row r="522" customFormat="false" ht="11.25" hidden="false" customHeight="true" outlineLevel="0" collapsed="false">
      <c r="A522" s="83"/>
      <c r="B522" s="84"/>
      <c r="C522" s="85"/>
      <c r="D522" s="93"/>
      <c r="E522" s="85"/>
      <c r="F522" s="88"/>
      <c r="G522" s="89"/>
      <c r="H522" s="89"/>
      <c r="I522" s="89"/>
      <c r="J522" s="89"/>
      <c r="K522" s="90"/>
      <c r="L522" s="91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92"/>
      <c r="AD522" s="2"/>
      <c r="AE522" s="2"/>
      <c r="AF522" s="2"/>
      <c r="AG522" s="2"/>
      <c r="AH522" s="2"/>
      <c r="AI522" s="2"/>
      <c r="AJ522" s="2"/>
      <c r="AK522" s="2"/>
      <c r="AL522" s="54"/>
      <c r="AM522" s="54"/>
      <c r="AN522" s="54"/>
      <c r="AO522" s="54"/>
    </row>
    <row r="523" customFormat="false" ht="11.25" hidden="false" customHeight="true" outlineLevel="0" collapsed="false">
      <c r="A523" s="83"/>
      <c r="B523" s="84"/>
      <c r="C523" s="85"/>
      <c r="D523" s="93"/>
      <c r="E523" s="85"/>
      <c r="F523" s="88"/>
      <c r="G523" s="89"/>
      <c r="H523" s="89"/>
      <c r="I523" s="89"/>
      <c r="J523" s="89"/>
      <c r="K523" s="90"/>
      <c r="L523" s="91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92"/>
      <c r="AD523" s="2"/>
      <c r="AE523" s="2"/>
      <c r="AF523" s="2"/>
      <c r="AG523" s="2"/>
      <c r="AH523" s="2"/>
      <c r="AI523" s="2"/>
      <c r="AJ523" s="2"/>
      <c r="AK523" s="2"/>
      <c r="AL523" s="54"/>
      <c r="AM523" s="54"/>
      <c r="AN523" s="54"/>
      <c r="AO523" s="54"/>
    </row>
    <row r="524" customFormat="false" ht="11.25" hidden="false" customHeight="true" outlineLevel="0" collapsed="false">
      <c r="A524" s="83"/>
      <c r="B524" s="84"/>
      <c r="C524" s="85"/>
      <c r="D524" s="93"/>
      <c r="E524" s="85"/>
      <c r="F524" s="88"/>
      <c r="G524" s="89"/>
      <c r="H524" s="89"/>
      <c r="I524" s="89"/>
      <c r="J524" s="89"/>
      <c r="K524" s="90"/>
      <c r="L524" s="91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92"/>
      <c r="AD524" s="2"/>
      <c r="AE524" s="2"/>
      <c r="AF524" s="2"/>
      <c r="AG524" s="2"/>
      <c r="AH524" s="2"/>
      <c r="AI524" s="2"/>
      <c r="AJ524" s="2"/>
      <c r="AK524" s="2"/>
      <c r="AL524" s="54"/>
      <c r="AM524" s="54"/>
      <c r="AN524" s="54"/>
      <c r="AO524" s="54"/>
    </row>
    <row r="525" customFormat="false" ht="11.25" hidden="false" customHeight="true" outlineLevel="0" collapsed="false">
      <c r="A525" s="83"/>
      <c r="B525" s="84"/>
      <c r="C525" s="85"/>
      <c r="D525" s="93"/>
      <c r="E525" s="85"/>
      <c r="F525" s="88"/>
      <c r="G525" s="89"/>
      <c r="H525" s="89"/>
      <c r="I525" s="89"/>
      <c r="J525" s="89"/>
      <c r="K525" s="90"/>
      <c r="L525" s="91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92"/>
      <c r="AD525" s="2"/>
      <c r="AE525" s="2"/>
      <c r="AF525" s="2"/>
      <c r="AG525" s="2"/>
      <c r="AH525" s="2"/>
      <c r="AI525" s="2"/>
      <c r="AJ525" s="2"/>
      <c r="AK525" s="2"/>
      <c r="AL525" s="54"/>
      <c r="AM525" s="54"/>
      <c r="AN525" s="54"/>
      <c r="AO525" s="54"/>
    </row>
    <row r="526" customFormat="false" ht="11.25" hidden="false" customHeight="true" outlineLevel="0" collapsed="false">
      <c r="A526" s="83"/>
      <c r="B526" s="84"/>
      <c r="C526" s="85"/>
      <c r="D526" s="93"/>
      <c r="E526" s="85"/>
      <c r="F526" s="88"/>
      <c r="G526" s="89"/>
      <c r="H526" s="89"/>
      <c r="I526" s="89"/>
      <c r="J526" s="89"/>
      <c r="K526" s="90"/>
      <c r="L526" s="91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92"/>
      <c r="AD526" s="2"/>
      <c r="AE526" s="2"/>
      <c r="AF526" s="2"/>
      <c r="AG526" s="2"/>
      <c r="AH526" s="2"/>
      <c r="AI526" s="2"/>
      <c r="AJ526" s="2"/>
      <c r="AK526" s="2"/>
      <c r="AL526" s="54"/>
      <c r="AM526" s="54"/>
      <c r="AN526" s="54"/>
      <c r="AO526" s="54"/>
    </row>
    <row r="527" customFormat="false" ht="11.25" hidden="false" customHeight="true" outlineLevel="0" collapsed="false">
      <c r="A527" s="83"/>
      <c r="B527" s="84"/>
      <c r="C527" s="85"/>
      <c r="D527" s="93"/>
      <c r="E527" s="85"/>
      <c r="F527" s="88"/>
      <c r="G527" s="89"/>
      <c r="H527" s="89"/>
      <c r="I527" s="89"/>
      <c r="J527" s="89"/>
      <c r="K527" s="90"/>
      <c r="L527" s="91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92"/>
      <c r="AD527" s="2"/>
      <c r="AE527" s="2"/>
      <c r="AF527" s="2"/>
      <c r="AG527" s="2"/>
      <c r="AH527" s="2"/>
      <c r="AI527" s="2"/>
      <c r="AJ527" s="2"/>
      <c r="AK527" s="2"/>
      <c r="AL527" s="54"/>
      <c r="AM527" s="54"/>
      <c r="AN527" s="54"/>
      <c r="AO527" s="54"/>
    </row>
    <row r="528" customFormat="false" ht="11.25" hidden="false" customHeight="true" outlineLevel="0" collapsed="false">
      <c r="A528" s="83"/>
      <c r="B528" s="84"/>
      <c r="C528" s="85"/>
      <c r="D528" s="93"/>
      <c r="E528" s="85"/>
      <c r="F528" s="88"/>
      <c r="G528" s="89"/>
      <c r="H528" s="89"/>
      <c r="I528" s="89"/>
      <c r="J528" s="89"/>
      <c r="K528" s="90"/>
      <c r="L528" s="91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92"/>
      <c r="AD528" s="2"/>
      <c r="AE528" s="2"/>
      <c r="AF528" s="2"/>
      <c r="AG528" s="2"/>
      <c r="AH528" s="2"/>
      <c r="AI528" s="2"/>
      <c r="AJ528" s="2"/>
      <c r="AK528" s="2"/>
      <c r="AL528" s="54"/>
      <c r="AM528" s="54"/>
      <c r="AN528" s="54"/>
      <c r="AO528" s="54"/>
    </row>
    <row r="529" customFormat="false" ht="11.25" hidden="false" customHeight="true" outlineLevel="0" collapsed="false">
      <c r="A529" s="83"/>
      <c r="B529" s="84"/>
      <c r="C529" s="85"/>
      <c r="D529" s="93"/>
      <c r="E529" s="85"/>
      <c r="F529" s="88"/>
      <c r="G529" s="89"/>
      <c r="H529" s="89"/>
      <c r="I529" s="89"/>
      <c r="J529" s="89"/>
      <c r="K529" s="90"/>
      <c r="L529" s="91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92"/>
      <c r="AD529" s="2"/>
      <c r="AE529" s="2"/>
      <c r="AF529" s="2"/>
      <c r="AG529" s="2"/>
      <c r="AH529" s="2"/>
      <c r="AI529" s="2"/>
      <c r="AJ529" s="2"/>
      <c r="AK529" s="2"/>
      <c r="AL529" s="54"/>
      <c r="AM529" s="54"/>
      <c r="AN529" s="54"/>
      <c r="AO529" s="54"/>
    </row>
    <row r="530" customFormat="false" ht="11.25" hidden="false" customHeight="true" outlineLevel="0" collapsed="false">
      <c r="A530" s="83"/>
      <c r="B530" s="84"/>
      <c r="C530" s="85"/>
      <c r="D530" s="93"/>
      <c r="E530" s="85"/>
      <c r="F530" s="88"/>
      <c r="G530" s="89"/>
      <c r="H530" s="89"/>
      <c r="I530" s="89"/>
      <c r="J530" s="89"/>
      <c r="K530" s="90"/>
      <c r="L530" s="91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92"/>
      <c r="AD530" s="2"/>
      <c r="AE530" s="2"/>
      <c r="AF530" s="2"/>
      <c r="AG530" s="2"/>
      <c r="AH530" s="2"/>
      <c r="AI530" s="2"/>
      <c r="AJ530" s="2"/>
      <c r="AK530" s="2"/>
      <c r="AL530" s="54"/>
      <c r="AM530" s="54"/>
      <c r="AN530" s="54"/>
      <c r="AO530" s="54"/>
    </row>
    <row r="531" customFormat="false" ht="11.25" hidden="false" customHeight="true" outlineLevel="0" collapsed="false">
      <c r="A531" s="83"/>
      <c r="B531" s="84"/>
      <c r="C531" s="85"/>
      <c r="D531" s="93"/>
      <c r="E531" s="85"/>
      <c r="F531" s="88"/>
      <c r="G531" s="89"/>
      <c r="H531" s="89"/>
      <c r="I531" s="89"/>
      <c r="J531" s="89"/>
      <c r="K531" s="90"/>
      <c r="L531" s="91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92"/>
      <c r="AD531" s="2"/>
      <c r="AE531" s="2"/>
      <c r="AF531" s="2"/>
      <c r="AG531" s="2"/>
      <c r="AH531" s="2"/>
      <c r="AI531" s="2"/>
      <c r="AJ531" s="2"/>
      <c r="AK531" s="2"/>
      <c r="AL531" s="54"/>
      <c r="AM531" s="54"/>
      <c r="AN531" s="54"/>
      <c r="AO531" s="54"/>
    </row>
    <row r="532" customFormat="false" ht="11.25" hidden="false" customHeight="true" outlineLevel="0" collapsed="false">
      <c r="A532" s="83"/>
      <c r="B532" s="84"/>
      <c r="C532" s="85"/>
      <c r="D532" s="93"/>
      <c r="E532" s="85"/>
      <c r="F532" s="88"/>
      <c r="G532" s="89"/>
      <c r="H532" s="89"/>
      <c r="I532" s="89"/>
      <c r="J532" s="89"/>
      <c r="K532" s="90"/>
      <c r="L532" s="91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92"/>
      <c r="AD532" s="2"/>
      <c r="AE532" s="2"/>
      <c r="AF532" s="2"/>
      <c r="AG532" s="2"/>
      <c r="AH532" s="2"/>
      <c r="AI532" s="2"/>
      <c r="AJ532" s="2"/>
      <c r="AK532" s="2"/>
      <c r="AL532" s="54"/>
      <c r="AM532" s="54"/>
      <c r="AN532" s="54"/>
      <c r="AO532" s="54"/>
    </row>
    <row r="533" customFormat="false" ht="11.25" hidden="false" customHeight="true" outlineLevel="0" collapsed="false">
      <c r="A533" s="83"/>
      <c r="B533" s="84"/>
      <c r="C533" s="85"/>
      <c r="D533" s="93"/>
      <c r="E533" s="85"/>
      <c r="F533" s="88"/>
      <c r="G533" s="89"/>
      <c r="H533" s="89"/>
      <c r="I533" s="89"/>
      <c r="J533" s="89"/>
      <c r="K533" s="90"/>
      <c r="L533" s="91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92"/>
      <c r="AD533" s="2"/>
      <c r="AE533" s="2"/>
      <c r="AF533" s="2"/>
      <c r="AG533" s="2"/>
      <c r="AH533" s="2"/>
      <c r="AI533" s="2"/>
      <c r="AJ533" s="2"/>
      <c r="AK533" s="2"/>
      <c r="AL533" s="54"/>
      <c r="AM533" s="54"/>
      <c r="AN533" s="54"/>
      <c r="AO533" s="54"/>
    </row>
    <row r="534" customFormat="false" ht="11.25" hidden="false" customHeight="true" outlineLevel="0" collapsed="false">
      <c r="A534" s="83"/>
      <c r="B534" s="84"/>
      <c r="C534" s="85"/>
      <c r="D534" s="93"/>
      <c r="E534" s="85"/>
      <c r="F534" s="88"/>
      <c r="G534" s="89"/>
      <c r="H534" s="89"/>
      <c r="I534" s="89"/>
      <c r="J534" s="89"/>
      <c r="K534" s="90"/>
      <c r="L534" s="91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92"/>
      <c r="AD534" s="2"/>
      <c r="AE534" s="2"/>
      <c r="AF534" s="2"/>
      <c r="AG534" s="2"/>
      <c r="AH534" s="2"/>
      <c r="AI534" s="2"/>
      <c r="AJ534" s="2"/>
      <c r="AK534" s="2"/>
      <c r="AL534" s="54"/>
      <c r="AM534" s="54"/>
      <c r="AN534" s="54"/>
      <c r="AO534" s="54"/>
    </row>
    <row r="535" customFormat="false" ht="11.25" hidden="false" customHeight="true" outlineLevel="0" collapsed="false">
      <c r="A535" s="83"/>
      <c r="B535" s="84"/>
      <c r="C535" s="85"/>
      <c r="D535" s="93"/>
      <c r="E535" s="85"/>
      <c r="F535" s="88"/>
      <c r="G535" s="89"/>
      <c r="H535" s="89"/>
      <c r="I535" s="89"/>
      <c r="J535" s="89"/>
      <c r="K535" s="90"/>
      <c r="L535" s="91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92"/>
      <c r="AD535" s="2"/>
      <c r="AE535" s="2"/>
      <c r="AF535" s="2"/>
      <c r="AG535" s="2"/>
      <c r="AH535" s="2"/>
      <c r="AI535" s="2"/>
      <c r="AJ535" s="2"/>
      <c r="AK535" s="2"/>
      <c r="AL535" s="54"/>
      <c r="AM535" s="54"/>
      <c r="AN535" s="54"/>
      <c r="AO535" s="54"/>
    </row>
    <row r="536" customFormat="false" ht="11.25" hidden="false" customHeight="true" outlineLevel="0" collapsed="false">
      <c r="A536" s="83"/>
      <c r="B536" s="84"/>
      <c r="C536" s="85"/>
      <c r="D536" s="93"/>
      <c r="E536" s="85"/>
      <c r="F536" s="88"/>
      <c r="G536" s="89"/>
      <c r="H536" s="89"/>
      <c r="I536" s="89"/>
      <c r="J536" s="89"/>
      <c r="K536" s="90"/>
      <c r="L536" s="91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92"/>
      <c r="AD536" s="2"/>
      <c r="AE536" s="2"/>
      <c r="AF536" s="2"/>
      <c r="AG536" s="2"/>
      <c r="AH536" s="2"/>
      <c r="AI536" s="2"/>
      <c r="AJ536" s="2"/>
      <c r="AK536" s="2"/>
      <c r="AL536" s="54"/>
      <c r="AM536" s="54"/>
      <c r="AN536" s="54"/>
      <c r="AO536" s="54"/>
    </row>
    <row r="537" customFormat="false" ht="11.25" hidden="false" customHeight="true" outlineLevel="0" collapsed="false">
      <c r="A537" s="83"/>
      <c r="B537" s="84"/>
      <c r="C537" s="85"/>
      <c r="D537" s="93"/>
      <c r="E537" s="85"/>
      <c r="F537" s="88"/>
      <c r="G537" s="89"/>
      <c r="H537" s="89"/>
      <c r="I537" s="89"/>
      <c r="J537" s="89"/>
      <c r="K537" s="90"/>
      <c r="L537" s="91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92"/>
      <c r="AD537" s="2"/>
      <c r="AE537" s="2"/>
      <c r="AF537" s="2"/>
      <c r="AG537" s="2"/>
      <c r="AH537" s="2"/>
      <c r="AI537" s="2"/>
      <c r="AJ537" s="2"/>
      <c r="AK537" s="2"/>
      <c r="AL537" s="54"/>
      <c r="AM537" s="54"/>
      <c r="AN537" s="54"/>
      <c r="AO537" s="54"/>
    </row>
    <row r="538" customFormat="false" ht="11.25" hidden="false" customHeight="true" outlineLevel="0" collapsed="false">
      <c r="A538" s="83"/>
      <c r="B538" s="84"/>
      <c r="C538" s="85"/>
      <c r="D538" s="93"/>
      <c r="E538" s="85"/>
      <c r="F538" s="88"/>
      <c r="G538" s="89"/>
      <c r="H538" s="89"/>
      <c r="I538" s="89"/>
      <c r="J538" s="89"/>
      <c r="K538" s="90"/>
      <c r="L538" s="91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92"/>
      <c r="AD538" s="2"/>
      <c r="AE538" s="2"/>
      <c r="AF538" s="2"/>
      <c r="AG538" s="2"/>
      <c r="AH538" s="2"/>
      <c r="AI538" s="2"/>
      <c r="AJ538" s="2"/>
      <c r="AK538" s="2"/>
      <c r="AL538" s="54"/>
      <c r="AM538" s="54"/>
      <c r="AN538" s="54"/>
      <c r="AO538" s="54"/>
    </row>
    <row r="539" customFormat="false" ht="11.25" hidden="false" customHeight="true" outlineLevel="0" collapsed="false">
      <c r="A539" s="83"/>
      <c r="B539" s="84"/>
      <c r="C539" s="85"/>
      <c r="D539" s="93"/>
      <c r="E539" s="85"/>
      <c r="F539" s="88"/>
      <c r="G539" s="89"/>
      <c r="H539" s="89"/>
      <c r="I539" s="89"/>
      <c r="J539" s="89"/>
      <c r="K539" s="90"/>
      <c r="L539" s="91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92"/>
      <c r="AD539" s="2"/>
      <c r="AE539" s="2"/>
      <c r="AF539" s="2"/>
      <c r="AG539" s="2"/>
      <c r="AH539" s="2"/>
      <c r="AI539" s="2"/>
      <c r="AJ539" s="2"/>
      <c r="AK539" s="2"/>
      <c r="AL539" s="54"/>
      <c r="AM539" s="54"/>
      <c r="AN539" s="54"/>
      <c r="AO539" s="54"/>
    </row>
    <row r="540" customFormat="false" ht="11.25" hidden="false" customHeight="true" outlineLevel="0" collapsed="false">
      <c r="A540" s="83"/>
      <c r="B540" s="84"/>
      <c r="C540" s="85"/>
      <c r="D540" s="93"/>
      <c r="E540" s="85"/>
      <c r="F540" s="88"/>
      <c r="G540" s="89"/>
      <c r="H540" s="89"/>
      <c r="I540" s="89"/>
      <c r="J540" s="89"/>
      <c r="K540" s="90"/>
      <c r="L540" s="91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92"/>
      <c r="AD540" s="2"/>
      <c r="AE540" s="2"/>
      <c r="AF540" s="2"/>
      <c r="AG540" s="2"/>
      <c r="AH540" s="2"/>
      <c r="AI540" s="2"/>
      <c r="AJ540" s="2"/>
      <c r="AK540" s="2"/>
      <c r="AL540" s="54"/>
      <c r="AM540" s="54"/>
      <c r="AN540" s="54"/>
      <c r="AO540" s="54"/>
    </row>
    <row r="541" customFormat="false" ht="11.25" hidden="false" customHeight="true" outlineLevel="0" collapsed="false">
      <c r="A541" s="83"/>
      <c r="B541" s="84"/>
      <c r="C541" s="85"/>
      <c r="D541" s="93"/>
      <c r="E541" s="85"/>
      <c r="F541" s="88"/>
      <c r="G541" s="89"/>
      <c r="H541" s="89"/>
      <c r="I541" s="89"/>
      <c r="J541" s="89"/>
      <c r="K541" s="90"/>
      <c r="L541" s="91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92"/>
      <c r="AD541" s="2"/>
      <c r="AE541" s="2"/>
      <c r="AF541" s="2"/>
      <c r="AG541" s="2"/>
      <c r="AH541" s="2"/>
      <c r="AI541" s="2"/>
      <c r="AJ541" s="2"/>
      <c r="AK541" s="2"/>
      <c r="AL541" s="54"/>
      <c r="AM541" s="54"/>
      <c r="AN541" s="54"/>
      <c r="AO541" s="54"/>
    </row>
    <row r="542" customFormat="false" ht="11.25" hidden="false" customHeight="true" outlineLevel="0" collapsed="false">
      <c r="A542" s="83"/>
      <c r="B542" s="84"/>
      <c r="C542" s="85"/>
      <c r="D542" s="93"/>
      <c r="E542" s="85"/>
      <c r="F542" s="88"/>
      <c r="G542" s="89"/>
      <c r="H542" s="89"/>
      <c r="I542" s="89"/>
      <c r="J542" s="89"/>
      <c r="K542" s="90"/>
      <c r="L542" s="91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92"/>
      <c r="AD542" s="2"/>
      <c r="AE542" s="2"/>
      <c r="AF542" s="2"/>
      <c r="AG542" s="2"/>
      <c r="AH542" s="2"/>
      <c r="AI542" s="2"/>
      <c r="AJ542" s="2"/>
      <c r="AK542" s="2"/>
      <c r="AL542" s="54"/>
      <c r="AM542" s="54"/>
      <c r="AN542" s="54"/>
      <c r="AO542" s="54"/>
    </row>
    <row r="543" customFormat="false" ht="11.25" hidden="false" customHeight="true" outlineLevel="0" collapsed="false">
      <c r="A543" s="83"/>
      <c r="B543" s="84"/>
      <c r="C543" s="85"/>
      <c r="D543" s="93"/>
      <c r="E543" s="85"/>
      <c r="F543" s="88"/>
      <c r="G543" s="89"/>
      <c r="H543" s="89"/>
      <c r="I543" s="89"/>
      <c r="J543" s="89"/>
      <c r="K543" s="90"/>
      <c r="L543" s="91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92"/>
      <c r="AD543" s="2"/>
      <c r="AE543" s="2"/>
      <c r="AF543" s="2"/>
      <c r="AG543" s="2"/>
      <c r="AH543" s="2"/>
      <c r="AI543" s="2"/>
      <c r="AJ543" s="2"/>
      <c r="AK543" s="2"/>
      <c r="AL543" s="54"/>
      <c r="AM543" s="54"/>
      <c r="AN543" s="54"/>
      <c r="AO543" s="54"/>
    </row>
    <row r="544" customFormat="false" ht="11.25" hidden="false" customHeight="true" outlineLevel="0" collapsed="false">
      <c r="A544" s="83"/>
      <c r="B544" s="84"/>
      <c r="C544" s="85"/>
      <c r="D544" s="93"/>
      <c r="E544" s="85"/>
      <c r="F544" s="88"/>
      <c r="G544" s="89"/>
      <c r="H544" s="89"/>
      <c r="I544" s="89"/>
      <c r="J544" s="89"/>
      <c r="K544" s="90"/>
      <c r="L544" s="91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92"/>
      <c r="AD544" s="2"/>
      <c r="AE544" s="2"/>
      <c r="AF544" s="2"/>
      <c r="AG544" s="2"/>
      <c r="AH544" s="2"/>
      <c r="AI544" s="2"/>
      <c r="AJ544" s="2"/>
      <c r="AK544" s="2"/>
      <c r="AL544" s="54"/>
      <c r="AM544" s="54"/>
      <c r="AN544" s="54"/>
      <c r="AO544" s="54"/>
    </row>
    <row r="545" customFormat="false" ht="11.25" hidden="false" customHeight="true" outlineLevel="0" collapsed="false">
      <c r="A545" s="83"/>
      <c r="B545" s="84"/>
      <c r="C545" s="85"/>
      <c r="D545" s="93"/>
      <c r="E545" s="85"/>
      <c r="F545" s="88"/>
      <c r="G545" s="89"/>
      <c r="H545" s="89"/>
      <c r="I545" s="89"/>
      <c r="J545" s="89"/>
      <c r="K545" s="90"/>
      <c r="L545" s="91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92"/>
      <c r="AD545" s="2"/>
      <c r="AE545" s="2"/>
      <c r="AF545" s="2"/>
      <c r="AG545" s="2"/>
      <c r="AH545" s="2"/>
      <c r="AI545" s="2"/>
      <c r="AJ545" s="2"/>
      <c r="AK545" s="2"/>
      <c r="AL545" s="54"/>
      <c r="AM545" s="54"/>
      <c r="AN545" s="54"/>
      <c r="AO545" s="54"/>
    </row>
    <row r="546" customFormat="false" ht="11.25" hidden="false" customHeight="true" outlineLevel="0" collapsed="false">
      <c r="A546" s="83"/>
      <c r="B546" s="84"/>
      <c r="C546" s="85"/>
      <c r="D546" s="93"/>
      <c r="E546" s="85"/>
      <c r="F546" s="88"/>
      <c r="G546" s="89"/>
      <c r="H546" s="89"/>
      <c r="I546" s="89"/>
      <c r="J546" s="89"/>
      <c r="K546" s="90"/>
      <c r="L546" s="91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92"/>
      <c r="AD546" s="2"/>
      <c r="AE546" s="2"/>
      <c r="AF546" s="2"/>
      <c r="AG546" s="2"/>
      <c r="AH546" s="2"/>
      <c r="AI546" s="2"/>
      <c r="AJ546" s="2"/>
      <c r="AK546" s="2"/>
      <c r="AL546" s="54"/>
      <c r="AM546" s="54"/>
      <c r="AN546" s="54"/>
      <c r="AO546" s="54"/>
    </row>
    <row r="547" customFormat="false" ht="11.25" hidden="false" customHeight="true" outlineLevel="0" collapsed="false">
      <c r="A547" s="83"/>
      <c r="B547" s="84"/>
      <c r="C547" s="85"/>
      <c r="D547" s="93"/>
      <c r="E547" s="85"/>
      <c r="F547" s="88"/>
      <c r="G547" s="89"/>
      <c r="H547" s="89"/>
      <c r="I547" s="89"/>
      <c r="J547" s="89"/>
      <c r="K547" s="90"/>
      <c r="L547" s="91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92"/>
      <c r="AD547" s="2"/>
      <c r="AE547" s="2"/>
      <c r="AF547" s="2"/>
      <c r="AG547" s="2"/>
      <c r="AH547" s="2"/>
      <c r="AI547" s="2"/>
      <c r="AJ547" s="2"/>
      <c r="AK547" s="2"/>
      <c r="AL547" s="54"/>
      <c r="AM547" s="54"/>
      <c r="AN547" s="54"/>
      <c r="AO547" s="54"/>
    </row>
    <row r="548" customFormat="false" ht="11.25" hidden="false" customHeight="true" outlineLevel="0" collapsed="false">
      <c r="A548" s="83"/>
      <c r="B548" s="84"/>
      <c r="C548" s="85"/>
      <c r="D548" s="93"/>
      <c r="E548" s="85"/>
      <c r="F548" s="88"/>
      <c r="G548" s="89"/>
      <c r="H548" s="89"/>
      <c r="I548" s="89"/>
      <c r="J548" s="89"/>
      <c r="K548" s="90"/>
      <c r="L548" s="91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92"/>
      <c r="AD548" s="2"/>
      <c r="AE548" s="2"/>
      <c r="AF548" s="2"/>
      <c r="AG548" s="2"/>
      <c r="AH548" s="2"/>
      <c r="AI548" s="2"/>
      <c r="AJ548" s="2"/>
      <c r="AK548" s="2"/>
      <c r="AL548" s="54"/>
      <c r="AM548" s="54"/>
      <c r="AN548" s="54"/>
      <c r="AO548" s="54"/>
    </row>
    <row r="549" customFormat="false" ht="11.25" hidden="false" customHeight="true" outlineLevel="0" collapsed="false">
      <c r="A549" s="83"/>
      <c r="B549" s="84"/>
      <c r="C549" s="85"/>
      <c r="D549" s="93"/>
      <c r="E549" s="85"/>
      <c r="F549" s="88"/>
      <c r="G549" s="89"/>
      <c r="H549" s="89"/>
      <c r="I549" s="89"/>
      <c r="J549" s="89"/>
      <c r="K549" s="90"/>
      <c r="L549" s="91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92"/>
      <c r="AD549" s="2"/>
      <c r="AE549" s="2"/>
      <c r="AF549" s="2"/>
      <c r="AG549" s="2"/>
      <c r="AH549" s="2"/>
      <c r="AI549" s="2"/>
      <c r="AJ549" s="2"/>
      <c r="AK549" s="2"/>
      <c r="AL549" s="54"/>
      <c r="AM549" s="54"/>
      <c r="AN549" s="54"/>
      <c r="AO549" s="54"/>
    </row>
    <row r="550" customFormat="false" ht="11.25" hidden="false" customHeight="true" outlineLevel="0" collapsed="false">
      <c r="A550" s="83"/>
      <c r="B550" s="84"/>
      <c r="C550" s="85"/>
      <c r="D550" s="93"/>
      <c r="E550" s="85"/>
      <c r="F550" s="88"/>
      <c r="G550" s="89"/>
      <c r="H550" s="89"/>
      <c r="I550" s="89"/>
      <c r="J550" s="89"/>
      <c r="K550" s="90"/>
      <c r="L550" s="91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92"/>
      <c r="AD550" s="2"/>
      <c r="AE550" s="2"/>
      <c r="AF550" s="2"/>
      <c r="AG550" s="2"/>
      <c r="AH550" s="2"/>
      <c r="AI550" s="2"/>
      <c r="AJ550" s="2"/>
      <c r="AK550" s="2"/>
      <c r="AL550" s="54"/>
      <c r="AM550" s="54"/>
      <c r="AN550" s="54"/>
      <c r="AO550" s="54"/>
    </row>
    <row r="551" customFormat="false" ht="11.25" hidden="false" customHeight="true" outlineLevel="0" collapsed="false">
      <c r="A551" s="83"/>
      <c r="B551" s="84"/>
      <c r="C551" s="85"/>
      <c r="D551" s="93"/>
      <c r="E551" s="85"/>
      <c r="F551" s="88"/>
      <c r="G551" s="89"/>
      <c r="H551" s="89"/>
      <c r="I551" s="89"/>
      <c r="J551" s="89"/>
      <c r="K551" s="90"/>
      <c r="L551" s="91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92"/>
      <c r="AD551" s="2"/>
      <c r="AE551" s="2"/>
      <c r="AF551" s="2"/>
      <c r="AG551" s="2"/>
      <c r="AH551" s="2"/>
      <c r="AI551" s="2"/>
      <c r="AJ551" s="2"/>
      <c r="AK551" s="2"/>
      <c r="AL551" s="54"/>
      <c r="AM551" s="54"/>
      <c r="AN551" s="54"/>
      <c r="AO551" s="54"/>
    </row>
    <row r="552" customFormat="false" ht="11.25" hidden="false" customHeight="true" outlineLevel="0" collapsed="false">
      <c r="A552" s="83"/>
      <c r="B552" s="84"/>
      <c r="C552" s="85"/>
      <c r="D552" s="93"/>
      <c r="E552" s="85"/>
      <c r="F552" s="88"/>
      <c r="G552" s="89"/>
      <c r="H552" s="89"/>
      <c r="I552" s="89"/>
      <c r="J552" s="89"/>
      <c r="K552" s="90"/>
      <c r="L552" s="91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92"/>
      <c r="AD552" s="2"/>
      <c r="AE552" s="2"/>
      <c r="AF552" s="2"/>
      <c r="AG552" s="2"/>
      <c r="AH552" s="2"/>
      <c r="AI552" s="2"/>
      <c r="AJ552" s="2"/>
      <c r="AK552" s="2"/>
      <c r="AL552" s="54"/>
      <c r="AM552" s="54"/>
      <c r="AN552" s="54"/>
      <c r="AO552" s="54"/>
    </row>
    <row r="553" customFormat="false" ht="11.25" hidden="false" customHeight="true" outlineLevel="0" collapsed="false">
      <c r="A553" s="83"/>
      <c r="B553" s="84"/>
      <c r="C553" s="85"/>
      <c r="D553" s="93"/>
      <c r="E553" s="85"/>
      <c r="F553" s="88"/>
      <c r="G553" s="89"/>
      <c r="H553" s="89"/>
      <c r="I553" s="89"/>
      <c r="J553" s="89"/>
      <c r="K553" s="90"/>
      <c r="L553" s="91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92"/>
      <c r="AD553" s="2"/>
      <c r="AE553" s="2"/>
      <c r="AF553" s="2"/>
      <c r="AG553" s="2"/>
      <c r="AH553" s="2"/>
      <c r="AI553" s="2"/>
      <c r="AJ553" s="2"/>
      <c r="AK553" s="2"/>
      <c r="AL553" s="54"/>
      <c r="AM553" s="54"/>
      <c r="AN553" s="54"/>
      <c r="AO553" s="54"/>
    </row>
    <row r="554" customFormat="false" ht="11.25" hidden="false" customHeight="true" outlineLevel="0" collapsed="false">
      <c r="A554" s="83"/>
      <c r="B554" s="84"/>
      <c r="C554" s="85"/>
      <c r="D554" s="93"/>
      <c r="E554" s="85"/>
      <c r="F554" s="88"/>
      <c r="G554" s="89"/>
      <c r="H554" s="89"/>
      <c r="I554" s="89"/>
      <c r="J554" s="89"/>
      <c r="K554" s="90"/>
      <c r="L554" s="91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92"/>
      <c r="AD554" s="2"/>
      <c r="AE554" s="2"/>
      <c r="AF554" s="2"/>
      <c r="AG554" s="2"/>
      <c r="AH554" s="2"/>
      <c r="AI554" s="2"/>
      <c r="AJ554" s="2"/>
      <c r="AK554" s="2"/>
      <c r="AL554" s="54"/>
      <c r="AM554" s="54"/>
      <c r="AN554" s="54"/>
      <c r="AO554" s="54"/>
    </row>
    <row r="555" customFormat="false" ht="11.25" hidden="false" customHeight="true" outlineLevel="0" collapsed="false">
      <c r="A555" s="83"/>
      <c r="B555" s="84"/>
      <c r="C555" s="85"/>
      <c r="D555" s="93"/>
      <c r="E555" s="85"/>
      <c r="F555" s="88"/>
      <c r="G555" s="89"/>
      <c r="H555" s="89"/>
      <c r="I555" s="89"/>
      <c r="J555" s="89"/>
      <c r="K555" s="90"/>
      <c r="L555" s="91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92"/>
      <c r="AD555" s="2"/>
      <c r="AE555" s="2"/>
      <c r="AF555" s="2"/>
      <c r="AG555" s="2"/>
      <c r="AH555" s="2"/>
      <c r="AI555" s="2"/>
      <c r="AJ555" s="2"/>
      <c r="AK555" s="2"/>
      <c r="AL555" s="54"/>
      <c r="AM555" s="54"/>
      <c r="AN555" s="54"/>
      <c r="AO555" s="54"/>
    </row>
    <row r="556" customFormat="false" ht="11.25" hidden="false" customHeight="true" outlineLevel="0" collapsed="false">
      <c r="A556" s="83"/>
      <c r="B556" s="84"/>
      <c r="C556" s="85"/>
      <c r="D556" s="93"/>
      <c r="E556" s="85"/>
      <c r="F556" s="88"/>
      <c r="G556" s="89"/>
      <c r="H556" s="89"/>
      <c r="I556" s="89"/>
      <c r="J556" s="89"/>
      <c r="K556" s="90"/>
      <c r="L556" s="91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92"/>
      <c r="AD556" s="2"/>
      <c r="AE556" s="2"/>
      <c r="AF556" s="2"/>
      <c r="AG556" s="2"/>
      <c r="AH556" s="2"/>
      <c r="AI556" s="2"/>
      <c r="AJ556" s="2"/>
      <c r="AK556" s="2"/>
      <c r="AL556" s="54"/>
      <c r="AM556" s="54"/>
      <c r="AN556" s="54"/>
      <c r="AO556" s="54"/>
    </row>
    <row r="557" customFormat="false" ht="11.25" hidden="false" customHeight="true" outlineLevel="0" collapsed="false">
      <c r="A557" s="83"/>
      <c r="B557" s="84"/>
      <c r="C557" s="85"/>
      <c r="D557" s="93"/>
      <c r="E557" s="85"/>
      <c r="F557" s="88"/>
      <c r="G557" s="89"/>
      <c r="H557" s="89"/>
      <c r="I557" s="89"/>
      <c r="J557" s="89"/>
      <c r="K557" s="90"/>
      <c r="L557" s="91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92"/>
      <c r="AD557" s="2"/>
      <c r="AE557" s="2"/>
      <c r="AF557" s="2"/>
      <c r="AG557" s="2"/>
      <c r="AH557" s="2"/>
      <c r="AI557" s="2"/>
      <c r="AJ557" s="2"/>
      <c r="AK557" s="2"/>
      <c r="AL557" s="54"/>
      <c r="AM557" s="54"/>
      <c r="AN557" s="54"/>
      <c r="AO557" s="54"/>
    </row>
    <row r="558" customFormat="false" ht="11.25" hidden="false" customHeight="true" outlineLevel="0" collapsed="false">
      <c r="A558" s="83"/>
      <c r="B558" s="84"/>
      <c r="C558" s="85"/>
      <c r="D558" s="93"/>
      <c r="E558" s="85"/>
      <c r="F558" s="88"/>
      <c r="G558" s="89"/>
      <c r="H558" s="89"/>
      <c r="I558" s="89"/>
      <c r="J558" s="89"/>
      <c r="K558" s="90"/>
      <c r="L558" s="91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92"/>
      <c r="AD558" s="2"/>
      <c r="AE558" s="2"/>
      <c r="AF558" s="2"/>
      <c r="AG558" s="2"/>
      <c r="AH558" s="2"/>
      <c r="AI558" s="2"/>
      <c r="AJ558" s="2"/>
      <c r="AK558" s="2"/>
      <c r="AL558" s="54"/>
      <c r="AM558" s="54"/>
      <c r="AN558" s="54"/>
      <c r="AO558" s="54"/>
    </row>
    <row r="559" customFormat="false" ht="11.25" hidden="false" customHeight="true" outlineLevel="0" collapsed="false">
      <c r="A559" s="83"/>
      <c r="B559" s="84"/>
      <c r="C559" s="85"/>
      <c r="D559" s="93"/>
      <c r="E559" s="85"/>
      <c r="F559" s="88"/>
      <c r="G559" s="89"/>
      <c r="H559" s="89"/>
      <c r="I559" s="89"/>
      <c r="J559" s="89"/>
      <c r="K559" s="90"/>
      <c r="L559" s="91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92"/>
      <c r="AD559" s="2"/>
      <c r="AE559" s="2"/>
      <c r="AF559" s="2"/>
      <c r="AG559" s="2"/>
      <c r="AH559" s="2"/>
      <c r="AI559" s="2"/>
      <c r="AJ559" s="2"/>
      <c r="AK559" s="2"/>
      <c r="AL559" s="54"/>
      <c r="AM559" s="54"/>
      <c r="AN559" s="54"/>
      <c r="AO559" s="54"/>
    </row>
    <row r="560" customFormat="false" ht="11.25" hidden="false" customHeight="true" outlineLevel="0" collapsed="false">
      <c r="A560" s="83"/>
      <c r="B560" s="84"/>
      <c r="C560" s="85"/>
      <c r="D560" s="93"/>
      <c r="E560" s="85"/>
      <c r="F560" s="88"/>
      <c r="G560" s="89"/>
      <c r="H560" s="89"/>
      <c r="I560" s="89"/>
      <c r="J560" s="89"/>
      <c r="K560" s="90"/>
      <c r="L560" s="91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92"/>
      <c r="AD560" s="2"/>
      <c r="AE560" s="2"/>
      <c r="AF560" s="2"/>
      <c r="AG560" s="2"/>
      <c r="AH560" s="2"/>
      <c r="AI560" s="2"/>
      <c r="AJ560" s="2"/>
      <c r="AK560" s="2"/>
      <c r="AL560" s="54"/>
      <c r="AM560" s="54"/>
      <c r="AN560" s="54"/>
      <c r="AO560" s="54"/>
    </row>
    <row r="561" customFormat="false" ht="11.25" hidden="false" customHeight="true" outlineLevel="0" collapsed="false">
      <c r="A561" s="83"/>
      <c r="B561" s="84"/>
      <c r="C561" s="85"/>
      <c r="D561" s="93"/>
      <c r="E561" s="85"/>
      <c r="F561" s="88"/>
      <c r="G561" s="89"/>
      <c r="H561" s="89"/>
      <c r="I561" s="89"/>
      <c r="J561" s="89"/>
      <c r="K561" s="90"/>
      <c r="L561" s="91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92"/>
      <c r="AD561" s="2"/>
      <c r="AE561" s="2"/>
      <c r="AF561" s="2"/>
      <c r="AG561" s="2"/>
      <c r="AH561" s="2"/>
      <c r="AI561" s="2"/>
      <c r="AJ561" s="2"/>
      <c r="AK561" s="2"/>
      <c r="AL561" s="54"/>
      <c r="AM561" s="54"/>
      <c r="AN561" s="54"/>
      <c r="AO561" s="54"/>
    </row>
    <row r="562" customFormat="false" ht="11.25" hidden="false" customHeight="true" outlineLevel="0" collapsed="false">
      <c r="A562" s="83"/>
      <c r="B562" s="84"/>
      <c r="C562" s="85"/>
      <c r="D562" s="93"/>
      <c r="E562" s="85"/>
      <c r="F562" s="88"/>
      <c r="G562" s="89"/>
      <c r="H562" s="89"/>
      <c r="I562" s="89"/>
      <c r="J562" s="89"/>
      <c r="K562" s="90"/>
      <c r="L562" s="91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92"/>
      <c r="AD562" s="2"/>
      <c r="AE562" s="2"/>
      <c r="AF562" s="2"/>
      <c r="AG562" s="2"/>
      <c r="AH562" s="2"/>
      <c r="AI562" s="2"/>
      <c r="AJ562" s="2"/>
      <c r="AK562" s="2"/>
      <c r="AL562" s="54"/>
      <c r="AM562" s="54"/>
      <c r="AN562" s="54"/>
      <c r="AO562" s="54"/>
    </row>
    <row r="563" customFormat="false" ht="11.25" hidden="false" customHeight="true" outlineLevel="0" collapsed="false">
      <c r="A563" s="83"/>
      <c r="B563" s="84"/>
      <c r="C563" s="85"/>
      <c r="D563" s="93"/>
      <c r="E563" s="85"/>
      <c r="F563" s="88"/>
      <c r="G563" s="89"/>
      <c r="H563" s="89"/>
      <c r="I563" s="89"/>
      <c r="J563" s="89"/>
      <c r="K563" s="90"/>
      <c r="L563" s="91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92"/>
      <c r="AD563" s="2"/>
      <c r="AE563" s="2"/>
      <c r="AF563" s="2"/>
      <c r="AG563" s="2"/>
      <c r="AH563" s="2"/>
      <c r="AI563" s="2"/>
      <c r="AJ563" s="2"/>
      <c r="AK563" s="2"/>
      <c r="AL563" s="54"/>
      <c r="AM563" s="54"/>
      <c r="AN563" s="54"/>
      <c r="AO563" s="54"/>
    </row>
    <row r="564" customFormat="false" ht="11.25" hidden="false" customHeight="true" outlineLevel="0" collapsed="false">
      <c r="A564" s="83"/>
      <c r="B564" s="84"/>
      <c r="C564" s="85"/>
      <c r="D564" s="93"/>
      <c r="E564" s="85"/>
      <c r="F564" s="88"/>
      <c r="G564" s="89"/>
      <c r="H564" s="89"/>
      <c r="I564" s="89"/>
      <c r="J564" s="89"/>
      <c r="K564" s="90"/>
      <c r="L564" s="91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92"/>
      <c r="AD564" s="2"/>
      <c r="AE564" s="2"/>
      <c r="AF564" s="2"/>
      <c r="AG564" s="2"/>
      <c r="AH564" s="2"/>
      <c r="AI564" s="2"/>
      <c r="AJ564" s="2"/>
      <c r="AK564" s="2"/>
      <c r="AL564" s="54"/>
      <c r="AM564" s="54"/>
      <c r="AN564" s="54"/>
      <c r="AO564" s="54"/>
    </row>
    <row r="565" customFormat="false" ht="11.25" hidden="false" customHeight="true" outlineLevel="0" collapsed="false">
      <c r="A565" s="83"/>
      <c r="B565" s="84"/>
      <c r="C565" s="85"/>
      <c r="D565" s="93"/>
      <c r="E565" s="85"/>
      <c r="F565" s="88"/>
      <c r="G565" s="89"/>
      <c r="H565" s="89"/>
      <c r="I565" s="89"/>
      <c r="J565" s="89"/>
      <c r="K565" s="90"/>
      <c r="L565" s="91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92"/>
      <c r="AD565" s="2"/>
      <c r="AE565" s="2"/>
      <c r="AF565" s="2"/>
      <c r="AG565" s="2"/>
      <c r="AH565" s="2"/>
      <c r="AI565" s="2"/>
      <c r="AJ565" s="2"/>
      <c r="AK565" s="2"/>
      <c r="AL565" s="54"/>
      <c r="AM565" s="54"/>
      <c r="AN565" s="54"/>
      <c r="AO565" s="54"/>
    </row>
    <row r="566" customFormat="false" ht="11.25" hidden="false" customHeight="true" outlineLevel="0" collapsed="false">
      <c r="A566" s="83"/>
      <c r="B566" s="84"/>
      <c r="C566" s="85"/>
      <c r="D566" s="93"/>
      <c r="E566" s="85"/>
      <c r="F566" s="88"/>
      <c r="G566" s="89"/>
      <c r="H566" s="89"/>
      <c r="I566" s="89"/>
      <c r="J566" s="89"/>
      <c r="K566" s="90"/>
      <c r="L566" s="91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92"/>
      <c r="AD566" s="2"/>
      <c r="AE566" s="2"/>
      <c r="AF566" s="2"/>
      <c r="AG566" s="2"/>
      <c r="AH566" s="2"/>
      <c r="AI566" s="2"/>
      <c r="AJ566" s="2"/>
      <c r="AK566" s="2"/>
      <c r="AL566" s="54"/>
      <c r="AM566" s="54"/>
      <c r="AN566" s="54"/>
      <c r="AO566" s="54"/>
    </row>
    <row r="567" customFormat="false" ht="11.25" hidden="false" customHeight="true" outlineLevel="0" collapsed="false">
      <c r="A567" s="83"/>
      <c r="B567" s="84"/>
      <c r="C567" s="85"/>
      <c r="D567" s="93"/>
      <c r="E567" s="85"/>
      <c r="F567" s="88"/>
      <c r="G567" s="89"/>
      <c r="H567" s="89"/>
      <c r="I567" s="89"/>
      <c r="J567" s="89"/>
      <c r="K567" s="90"/>
      <c r="L567" s="91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92"/>
      <c r="AD567" s="2"/>
      <c r="AE567" s="2"/>
      <c r="AF567" s="2"/>
      <c r="AG567" s="2"/>
      <c r="AH567" s="2"/>
      <c r="AI567" s="2"/>
      <c r="AJ567" s="2"/>
      <c r="AK567" s="2"/>
      <c r="AL567" s="54"/>
      <c r="AM567" s="54"/>
      <c r="AN567" s="54"/>
      <c r="AO567" s="54"/>
    </row>
    <row r="568" customFormat="false" ht="11.25" hidden="false" customHeight="true" outlineLevel="0" collapsed="false">
      <c r="A568" s="83"/>
      <c r="B568" s="84"/>
      <c r="C568" s="85"/>
      <c r="D568" s="93"/>
      <c r="E568" s="85"/>
      <c r="F568" s="88"/>
      <c r="G568" s="89"/>
      <c r="H568" s="89"/>
      <c r="I568" s="89"/>
      <c r="J568" s="89"/>
      <c r="K568" s="90"/>
      <c r="L568" s="91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92"/>
      <c r="AD568" s="2"/>
      <c r="AE568" s="2"/>
      <c r="AF568" s="2"/>
      <c r="AG568" s="2"/>
      <c r="AH568" s="2"/>
      <c r="AI568" s="2"/>
      <c r="AJ568" s="2"/>
      <c r="AK568" s="2"/>
      <c r="AL568" s="54"/>
      <c r="AM568" s="54"/>
      <c r="AN568" s="54"/>
      <c r="AO568" s="54"/>
    </row>
    <row r="569" customFormat="false" ht="11.25" hidden="false" customHeight="true" outlineLevel="0" collapsed="false">
      <c r="A569" s="83"/>
      <c r="B569" s="84"/>
      <c r="C569" s="85"/>
      <c r="D569" s="93"/>
      <c r="E569" s="85"/>
      <c r="F569" s="88"/>
      <c r="G569" s="89"/>
      <c r="H569" s="89"/>
      <c r="I569" s="89"/>
      <c r="J569" s="89"/>
      <c r="K569" s="90"/>
      <c r="L569" s="91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92"/>
      <c r="AD569" s="2"/>
      <c r="AE569" s="2"/>
      <c r="AF569" s="2"/>
      <c r="AG569" s="2"/>
      <c r="AH569" s="2"/>
      <c r="AI569" s="2"/>
      <c r="AJ569" s="2"/>
      <c r="AK569" s="2"/>
      <c r="AL569" s="54"/>
      <c r="AM569" s="54"/>
      <c r="AN569" s="54"/>
      <c r="AO569" s="54"/>
    </row>
    <row r="570" customFormat="false" ht="11.25" hidden="false" customHeight="true" outlineLevel="0" collapsed="false">
      <c r="A570" s="83"/>
      <c r="B570" s="84"/>
      <c r="C570" s="85"/>
      <c r="D570" s="93"/>
      <c r="E570" s="85"/>
      <c r="F570" s="88"/>
      <c r="G570" s="89"/>
      <c r="H570" s="89"/>
      <c r="I570" s="89"/>
      <c r="J570" s="89"/>
      <c r="K570" s="90"/>
      <c r="L570" s="91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92"/>
      <c r="AD570" s="2"/>
      <c r="AE570" s="2"/>
      <c r="AF570" s="2"/>
      <c r="AG570" s="2"/>
      <c r="AH570" s="2"/>
      <c r="AI570" s="2"/>
      <c r="AJ570" s="2"/>
      <c r="AK570" s="2"/>
      <c r="AL570" s="54"/>
      <c r="AM570" s="54"/>
      <c r="AN570" s="54"/>
      <c r="AO570" s="54"/>
    </row>
    <row r="571" customFormat="false" ht="11.25" hidden="false" customHeight="true" outlineLevel="0" collapsed="false">
      <c r="A571" s="83"/>
      <c r="B571" s="84"/>
      <c r="C571" s="85"/>
      <c r="D571" s="93"/>
      <c r="E571" s="85"/>
      <c r="F571" s="88"/>
      <c r="G571" s="89"/>
      <c r="H571" s="89"/>
      <c r="I571" s="89"/>
      <c r="J571" s="89"/>
      <c r="K571" s="90"/>
      <c r="L571" s="91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92"/>
      <c r="AD571" s="2"/>
      <c r="AE571" s="2"/>
      <c r="AF571" s="2"/>
      <c r="AG571" s="2"/>
      <c r="AH571" s="2"/>
      <c r="AI571" s="2"/>
      <c r="AJ571" s="2"/>
      <c r="AK571" s="2"/>
      <c r="AL571" s="54"/>
      <c r="AM571" s="54"/>
      <c r="AN571" s="54"/>
      <c r="AO571" s="54"/>
    </row>
    <row r="572" customFormat="false" ht="11.25" hidden="false" customHeight="true" outlineLevel="0" collapsed="false">
      <c r="A572" s="83"/>
      <c r="B572" s="84"/>
      <c r="C572" s="85"/>
      <c r="D572" s="93"/>
      <c r="E572" s="85"/>
      <c r="F572" s="88"/>
      <c r="G572" s="89"/>
      <c r="H572" s="89"/>
      <c r="I572" s="89"/>
      <c r="J572" s="89"/>
      <c r="K572" s="90"/>
      <c r="L572" s="91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92"/>
      <c r="AD572" s="2"/>
      <c r="AE572" s="2"/>
      <c r="AF572" s="2"/>
      <c r="AG572" s="2"/>
      <c r="AH572" s="2"/>
      <c r="AI572" s="2"/>
      <c r="AJ572" s="2"/>
      <c r="AK572" s="2"/>
      <c r="AL572" s="54"/>
      <c r="AM572" s="54"/>
      <c r="AN572" s="54"/>
      <c r="AO572" s="54"/>
    </row>
    <row r="573" customFormat="false" ht="11.25" hidden="false" customHeight="true" outlineLevel="0" collapsed="false">
      <c r="A573" s="83"/>
      <c r="B573" s="84"/>
      <c r="C573" s="85"/>
      <c r="D573" s="93"/>
      <c r="E573" s="85"/>
      <c r="F573" s="88"/>
      <c r="G573" s="89"/>
      <c r="H573" s="89"/>
      <c r="I573" s="89"/>
      <c r="J573" s="89"/>
      <c r="K573" s="90"/>
      <c r="L573" s="91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92"/>
      <c r="AD573" s="2"/>
      <c r="AE573" s="2"/>
      <c r="AF573" s="2"/>
      <c r="AG573" s="2"/>
      <c r="AH573" s="2"/>
      <c r="AI573" s="2"/>
      <c r="AJ573" s="2"/>
      <c r="AK573" s="2"/>
      <c r="AL573" s="54"/>
      <c r="AM573" s="54"/>
      <c r="AN573" s="54"/>
      <c r="AO573" s="54"/>
    </row>
    <row r="574" customFormat="false" ht="11.25" hidden="false" customHeight="true" outlineLevel="0" collapsed="false">
      <c r="A574" s="83"/>
      <c r="B574" s="84"/>
      <c r="C574" s="85"/>
      <c r="D574" s="93"/>
      <c r="E574" s="85"/>
      <c r="F574" s="88"/>
      <c r="G574" s="89"/>
      <c r="H574" s="89"/>
      <c r="I574" s="89"/>
      <c r="J574" s="89"/>
      <c r="K574" s="90"/>
      <c r="L574" s="91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92"/>
      <c r="AD574" s="2"/>
      <c r="AE574" s="2"/>
      <c r="AF574" s="2"/>
      <c r="AG574" s="2"/>
      <c r="AH574" s="2"/>
      <c r="AI574" s="2"/>
      <c r="AJ574" s="2"/>
      <c r="AK574" s="2"/>
      <c r="AL574" s="54"/>
      <c r="AM574" s="54"/>
      <c r="AN574" s="54"/>
      <c r="AO574" s="54"/>
    </row>
    <row r="575" customFormat="false" ht="11.25" hidden="false" customHeight="true" outlineLevel="0" collapsed="false">
      <c r="A575" s="83"/>
      <c r="B575" s="84"/>
      <c r="C575" s="85"/>
      <c r="D575" s="93"/>
      <c r="E575" s="85"/>
      <c r="F575" s="88"/>
      <c r="G575" s="89"/>
      <c r="H575" s="89"/>
      <c r="I575" s="89"/>
      <c r="J575" s="89"/>
      <c r="K575" s="90"/>
      <c r="L575" s="91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92"/>
      <c r="AD575" s="2"/>
      <c r="AE575" s="2"/>
      <c r="AF575" s="2"/>
      <c r="AG575" s="2"/>
      <c r="AH575" s="2"/>
      <c r="AI575" s="2"/>
      <c r="AJ575" s="2"/>
      <c r="AK575" s="2"/>
      <c r="AL575" s="54"/>
      <c r="AM575" s="54"/>
      <c r="AN575" s="54"/>
      <c r="AO575" s="54"/>
    </row>
    <row r="576" customFormat="false" ht="11.25" hidden="false" customHeight="true" outlineLevel="0" collapsed="false">
      <c r="A576" s="83"/>
      <c r="B576" s="84"/>
      <c r="C576" s="85"/>
      <c r="D576" s="93"/>
      <c r="E576" s="85"/>
      <c r="F576" s="88"/>
      <c r="G576" s="89"/>
      <c r="H576" s="89"/>
      <c r="I576" s="89"/>
      <c r="J576" s="89"/>
      <c r="K576" s="90"/>
      <c r="L576" s="91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92"/>
      <c r="AD576" s="2"/>
      <c r="AE576" s="2"/>
      <c r="AF576" s="2"/>
      <c r="AG576" s="2"/>
      <c r="AH576" s="2"/>
      <c r="AI576" s="2"/>
      <c r="AJ576" s="2"/>
      <c r="AK576" s="2"/>
      <c r="AL576" s="54"/>
      <c r="AM576" s="54"/>
      <c r="AN576" s="54"/>
      <c r="AO576" s="54"/>
    </row>
    <row r="577" customFormat="false" ht="11.25" hidden="false" customHeight="true" outlineLevel="0" collapsed="false">
      <c r="A577" s="83"/>
      <c r="B577" s="84"/>
      <c r="C577" s="85"/>
      <c r="D577" s="93"/>
      <c r="E577" s="85"/>
      <c r="F577" s="88"/>
      <c r="G577" s="89"/>
      <c r="H577" s="89"/>
      <c r="I577" s="89"/>
      <c r="J577" s="89"/>
      <c r="K577" s="90"/>
      <c r="L577" s="91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92"/>
      <c r="AD577" s="2"/>
      <c r="AE577" s="2"/>
      <c r="AF577" s="2"/>
      <c r="AG577" s="2"/>
      <c r="AH577" s="2"/>
      <c r="AI577" s="2"/>
      <c r="AJ577" s="2"/>
      <c r="AK577" s="2"/>
      <c r="AL577" s="54"/>
      <c r="AM577" s="54"/>
      <c r="AN577" s="54"/>
      <c r="AO577" s="54"/>
    </row>
    <row r="578" customFormat="false" ht="11.25" hidden="false" customHeight="true" outlineLevel="0" collapsed="false">
      <c r="A578" s="83"/>
      <c r="B578" s="84"/>
      <c r="C578" s="85"/>
      <c r="D578" s="93"/>
      <c r="E578" s="85"/>
      <c r="F578" s="88"/>
      <c r="G578" s="89"/>
      <c r="H578" s="89"/>
      <c r="I578" s="89"/>
      <c r="J578" s="89"/>
      <c r="K578" s="90"/>
      <c r="L578" s="91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92"/>
      <c r="AD578" s="2"/>
      <c r="AE578" s="2"/>
      <c r="AF578" s="2"/>
      <c r="AG578" s="2"/>
      <c r="AH578" s="2"/>
      <c r="AI578" s="2"/>
      <c r="AJ578" s="2"/>
      <c r="AK578" s="2"/>
      <c r="AL578" s="54"/>
      <c r="AM578" s="54"/>
      <c r="AN578" s="54"/>
      <c r="AO578" s="54"/>
    </row>
    <row r="579" customFormat="false" ht="11.25" hidden="false" customHeight="true" outlineLevel="0" collapsed="false">
      <c r="A579" s="83"/>
      <c r="B579" s="84"/>
      <c r="C579" s="85"/>
      <c r="D579" s="93"/>
      <c r="E579" s="85"/>
      <c r="F579" s="88"/>
      <c r="G579" s="89"/>
      <c r="H579" s="89"/>
      <c r="I579" s="89"/>
      <c r="J579" s="89"/>
      <c r="K579" s="90"/>
      <c r="L579" s="91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92"/>
      <c r="AD579" s="2"/>
      <c r="AE579" s="2"/>
      <c r="AF579" s="2"/>
      <c r="AG579" s="2"/>
      <c r="AH579" s="2"/>
      <c r="AI579" s="2"/>
      <c r="AJ579" s="2"/>
      <c r="AK579" s="2"/>
      <c r="AL579" s="54"/>
      <c r="AM579" s="54"/>
      <c r="AN579" s="54"/>
      <c r="AO579" s="54"/>
    </row>
    <row r="580" customFormat="false" ht="11.25" hidden="false" customHeight="true" outlineLevel="0" collapsed="false">
      <c r="A580" s="83"/>
      <c r="B580" s="84"/>
      <c r="C580" s="85"/>
      <c r="D580" s="93"/>
      <c r="E580" s="85"/>
      <c r="F580" s="88"/>
      <c r="G580" s="89"/>
      <c r="H580" s="89"/>
      <c r="I580" s="89"/>
      <c r="J580" s="89"/>
      <c r="K580" s="90"/>
      <c r="L580" s="91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92"/>
      <c r="AD580" s="2"/>
      <c r="AE580" s="2"/>
      <c r="AF580" s="2"/>
      <c r="AG580" s="2"/>
      <c r="AH580" s="2"/>
      <c r="AI580" s="2"/>
      <c r="AJ580" s="2"/>
      <c r="AK580" s="2"/>
      <c r="AL580" s="54"/>
      <c r="AM580" s="54"/>
      <c r="AN580" s="54"/>
      <c r="AO580" s="54"/>
    </row>
    <row r="581" customFormat="false" ht="11.25" hidden="false" customHeight="true" outlineLevel="0" collapsed="false">
      <c r="A581" s="83"/>
      <c r="B581" s="84"/>
      <c r="C581" s="85"/>
      <c r="D581" s="93"/>
      <c r="E581" s="85"/>
      <c r="F581" s="88"/>
      <c r="G581" s="89"/>
      <c r="H581" s="89"/>
      <c r="I581" s="89"/>
      <c r="J581" s="89"/>
      <c r="K581" s="90"/>
      <c r="L581" s="91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92"/>
      <c r="AD581" s="2"/>
      <c r="AE581" s="2"/>
      <c r="AF581" s="2"/>
      <c r="AG581" s="2"/>
      <c r="AH581" s="2"/>
      <c r="AI581" s="2"/>
      <c r="AJ581" s="2"/>
      <c r="AK581" s="2"/>
      <c r="AL581" s="54"/>
      <c r="AM581" s="54"/>
      <c r="AN581" s="54"/>
      <c r="AO581" s="54"/>
    </row>
    <row r="582" customFormat="false" ht="11.25" hidden="false" customHeight="true" outlineLevel="0" collapsed="false">
      <c r="A582" s="83"/>
      <c r="B582" s="84"/>
      <c r="C582" s="85"/>
      <c r="D582" s="93"/>
      <c r="E582" s="85"/>
      <c r="F582" s="88"/>
      <c r="G582" s="89"/>
      <c r="H582" s="89"/>
      <c r="I582" s="89"/>
      <c r="J582" s="89"/>
      <c r="K582" s="90"/>
      <c r="L582" s="91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92"/>
      <c r="AD582" s="2"/>
      <c r="AE582" s="2"/>
      <c r="AF582" s="2"/>
      <c r="AG582" s="2"/>
      <c r="AH582" s="2"/>
      <c r="AI582" s="2"/>
      <c r="AJ582" s="2"/>
      <c r="AK582" s="2"/>
      <c r="AL582" s="54"/>
      <c r="AM582" s="54"/>
      <c r="AN582" s="54"/>
      <c r="AO582" s="54"/>
    </row>
    <row r="583" customFormat="false" ht="11.25" hidden="false" customHeight="true" outlineLevel="0" collapsed="false">
      <c r="A583" s="83"/>
      <c r="B583" s="84"/>
      <c r="C583" s="85"/>
      <c r="D583" s="93"/>
      <c r="E583" s="85"/>
      <c r="F583" s="88"/>
      <c r="G583" s="89"/>
      <c r="H583" s="89"/>
      <c r="I583" s="89"/>
      <c r="J583" s="89"/>
      <c r="K583" s="90"/>
      <c r="L583" s="91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92"/>
      <c r="AD583" s="2"/>
      <c r="AE583" s="2"/>
      <c r="AF583" s="2"/>
      <c r="AG583" s="2"/>
      <c r="AH583" s="2"/>
      <c r="AI583" s="2"/>
      <c r="AJ583" s="2"/>
      <c r="AK583" s="2"/>
      <c r="AL583" s="54"/>
      <c r="AM583" s="54"/>
      <c r="AN583" s="54"/>
      <c r="AO583" s="54"/>
    </row>
    <row r="584" customFormat="false" ht="11.25" hidden="false" customHeight="true" outlineLevel="0" collapsed="false">
      <c r="A584" s="83"/>
      <c r="B584" s="84"/>
      <c r="C584" s="85"/>
      <c r="D584" s="93"/>
      <c r="E584" s="85"/>
      <c r="F584" s="88"/>
      <c r="G584" s="89"/>
      <c r="H584" s="89"/>
      <c r="I584" s="89"/>
      <c r="J584" s="89"/>
      <c r="K584" s="90"/>
      <c r="L584" s="91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92"/>
      <c r="AD584" s="2"/>
      <c r="AE584" s="2"/>
      <c r="AF584" s="2"/>
      <c r="AG584" s="2"/>
      <c r="AH584" s="2"/>
      <c r="AI584" s="2"/>
      <c r="AJ584" s="2"/>
      <c r="AK584" s="2"/>
      <c r="AL584" s="54"/>
      <c r="AM584" s="54"/>
      <c r="AN584" s="54"/>
      <c r="AO584" s="54"/>
    </row>
    <row r="585" customFormat="false" ht="11.25" hidden="false" customHeight="true" outlineLevel="0" collapsed="false">
      <c r="A585" s="83"/>
      <c r="B585" s="84"/>
      <c r="C585" s="85"/>
      <c r="D585" s="93"/>
      <c r="E585" s="85"/>
      <c r="F585" s="88"/>
      <c r="G585" s="89"/>
      <c r="H585" s="89"/>
      <c r="I585" s="89"/>
      <c r="J585" s="89"/>
      <c r="K585" s="90"/>
      <c r="L585" s="91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92"/>
      <c r="AD585" s="2"/>
      <c r="AE585" s="2"/>
      <c r="AF585" s="2"/>
      <c r="AG585" s="2"/>
      <c r="AH585" s="2"/>
      <c r="AI585" s="2"/>
      <c r="AJ585" s="2"/>
      <c r="AK585" s="2"/>
      <c r="AL585" s="54"/>
      <c r="AM585" s="54"/>
      <c r="AN585" s="54"/>
      <c r="AO585" s="54"/>
    </row>
    <row r="586" customFormat="false" ht="11.25" hidden="false" customHeight="true" outlineLevel="0" collapsed="false">
      <c r="A586" s="83"/>
      <c r="B586" s="84"/>
      <c r="C586" s="85"/>
      <c r="D586" s="93"/>
      <c r="E586" s="85"/>
      <c r="F586" s="88"/>
      <c r="G586" s="89"/>
      <c r="H586" s="89"/>
      <c r="I586" s="89"/>
      <c r="J586" s="89"/>
      <c r="K586" s="90"/>
      <c r="L586" s="91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92"/>
      <c r="AD586" s="2"/>
      <c r="AE586" s="2"/>
      <c r="AF586" s="2"/>
      <c r="AG586" s="2"/>
      <c r="AH586" s="2"/>
      <c r="AI586" s="2"/>
      <c r="AJ586" s="2"/>
      <c r="AK586" s="2"/>
      <c r="AL586" s="54"/>
      <c r="AM586" s="54"/>
      <c r="AN586" s="54"/>
      <c r="AO586" s="54"/>
    </row>
    <row r="587" customFormat="false" ht="11.25" hidden="false" customHeight="true" outlineLevel="0" collapsed="false">
      <c r="A587" s="83"/>
      <c r="B587" s="84"/>
      <c r="C587" s="85"/>
      <c r="D587" s="93"/>
      <c r="E587" s="85"/>
      <c r="F587" s="88"/>
      <c r="G587" s="89"/>
      <c r="H587" s="89"/>
      <c r="I587" s="89"/>
      <c r="J587" s="89"/>
      <c r="K587" s="90"/>
      <c r="L587" s="91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92"/>
      <c r="AD587" s="2"/>
      <c r="AE587" s="2"/>
      <c r="AF587" s="2"/>
      <c r="AG587" s="2"/>
      <c r="AH587" s="2"/>
      <c r="AI587" s="2"/>
      <c r="AJ587" s="2"/>
      <c r="AK587" s="2"/>
      <c r="AL587" s="54"/>
      <c r="AM587" s="54"/>
      <c r="AN587" s="54"/>
      <c r="AO587" s="54"/>
    </row>
    <row r="588" customFormat="false" ht="11.25" hidden="false" customHeight="true" outlineLevel="0" collapsed="false">
      <c r="A588" s="83"/>
      <c r="B588" s="84"/>
      <c r="C588" s="85"/>
      <c r="D588" s="93"/>
      <c r="E588" s="85"/>
      <c r="F588" s="88"/>
      <c r="G588" s="89"/>
      <c r="H588" s="89"/>
      <c r="I588" s="89"/>
      <c r="J588" s="89"/>
      <c r="K588" s="90"/>
      <c r="L588" s="91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92"/>
      <c r="AD588" s="2"/>
      <c r="AE588" s="2"/>
      <c r="AF588" s="2"/>
      <c r="AG588" s="2"/>
      <c r="AH588" s="2"/>
      <c r="AI588" s="2"/>
      <c r="AJ588" s="2"/>
      <c r="AK588" s="2"/>
      <c r="AL588" s="54"/>
      <c r="AM588" s="54"/>
      <c r="AN588" s="54"/>
      <c r="AO588" s="54"/>
    </row>
    <row r="589" customFormat="false" ht="11.25" hidden="false" customHeight="true" outlineLevel="0" collapsed="false">
      <c r="A589" s="83"/>
      <c r="B589" s="84"/>
      <c r="C589" s="85"/>
      <c r="D589" s="93"/>
      <c r="E589" s="85"/>
      <c r="F589" s="88"/>
      <c r="G589" s="89"/>
      <c r="H589" s="89"/>
      <c r="I589" s="89"/>
      <c r="J589" s="89"/>
      <c r="K589" s="90"/>
      <c r="L589" s="91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92"/>
      <c r="AD589" s="2"/>
      <c r="AE589" s="2"/>
      <c r="AF589" s="2"/>
      <c r="AG589" s="2"/>
      <c r="AH589" s="2"/>
      <c r="AI589" s="2"/>
      <c r="AJ589" s="2"/>
      <c r="AK589" s="2"/>
      <c r="AL589" s="54"/>
      <c r="AM589" s="54"/>
      <c r="AN589" s="54"/>
      <c r="AO589" s="54"/>
    </row>
    <row r="590" customFormat="false" ht="11.25" hidden="false" customHeight="true" outlineLevel="0" collapsed="false">
      <c r="A590" s="83"/>
      <c r="B590" s="84"/>
      <c r="C590" s="85"/>
      <c r="D590" s="93"/>
      <c r="E590" s="85"/>
      <c r="F590" s="88"/>
      <c r="G590" s="89"/>
      <c r="H590" s="89"/>
      <c r="I590" s="89"/>
      <c r="J590" s="89"/>
      <c r="K590" s="90"/>
      <c r="L590" s="91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92"/>
      <c r="AD590" s="2"/>
      <c r="AE590" s="2"/>
      <c r="AF590" s="2"/>
      <c r="AG590" s="2"/>
      <c r="AH590" s="2"/>
      <c r="AI590" s="2"/>
      <c r="AJ590" s="2"/>
      <c r="AK590" s="2"/>
      <c r="AL590" s="54"/>
      <c r="AM590" s="54"/>
      <c r="AN590" s="54"/>
      <c r="AO590" s="54"/>
    </row>
    <row r="591" customFormat="false" ht="11.25" hidden="false" customHeight="true" outlineLevel="0" collapsed="false">
      <c r="A591" s="83"/>
      <c r="B591" s="84"/>
      <c r="C591" s="85"/>
      <c r="D591" s="93"/>
      <c r="E591" s="85"/>
      <c r="F591" s="88"/>
      <c r="G591" s="89"/>
      <c r="H591" s="89"/>
      <c r="I591" s="89"/>
      <c r="J591" s="89"/>
      <c r="K591" s="90"/>
      <c r="L591" s="91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92"/>
      <c r="AD591" s="2"/>
      <c r="AE591" s="2"/>
      <c r="AF591" s="2"/>
      <c r="AG591" s="2"/>
      <c r="AH591" s="2"/>
      <c r="AI591" s="2"/>
      <c r="AJ591" s="2"/>
      <c r="AK591" s="2"/>
      <c r="AL591" s="54"/>
      <c r="AM591" s="54"/>
      <c r="AN591" s="54"/>
      <c r="AO591" s="54"/>
    </row>
    <row r="592" customFormat="false" ht="11.25" hidden="false" customHeight="true" outlineLevel="0" collapsed="false">
      <c r="A592" s="83"/>
      <c r="B592" s="84"/>
      <c r="C592" s="85"/>
      <c r="D592" s="93"/>
      <c r="E592" s="85"/>
      <c r="F592" s="88"/>
      <c r="G592" s="89"/>
      <c r="H592" s="89"/>
      <c r="I592" s="89"/>
      <c r="J592" s="89"/>
      <c r="K592" s="90"/>
      <c r="L592" s="91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92"/>
      <c r="AD592" s="2"/>
      <c r="AE592" s="2"/>
      <c r="AF592" s="2"/>
      <c r="AG592" s="2"/>
      <c r="AH592" s="2"/>
      <c r="AI592" s="2"/>
      <c r="AJ592" s="2"/>
      <c r="AK592" s="2"/>
      <c r="AL592" s="54"/>
      <c r="AM592" s="54"/>
      <c r="AN592" s="54"/>
      <c r="AO592" s="54"/>
    </row>
    <row r="593" customFormat="false" ht="11.25" hidden="false" customHeight="true" outlineLevel="0" collapsed="false">
      <c r="A593" s="83"/>
      <c r="B593" s="84"/>
      <c r="C593" s="85"/>
      <c r="D593" s="93"/>
      <c r="E593" s="85"/>
      <c r="F593" s="88"/>
      <c r="G593" s="89"/>
      <c r="H593" s="89"/>
      <c r="I593" s="89"/>
      <c r="J593" s="89"/>
      <c r="K593" s="90"/>
      <c r="L593" s="91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92"/>
      <c r="AD593" s="2"/>
      <c r="AE593" s="2"/>
      <c r="AF593" s="2"/>
      <c r="AG593" s="2"/>
      <c r="AH593" s="2"/>
      <c r="AI593" s="2"/>
      <c r="AJ593" s="2"/>
      <c r="AK593" s="2"/>
      <c r="AL593" s="54"/>
      <c r="AM593" s="54"/>
      <c r="AN593" s="54"/>
      <c r="AO593" s="54"/>
    </row>
    <row r="594" customFormat="false" ht="11.25" hidden="false" customHeight="true" outlineLevel="0" collapsed="false">
      <c r="A594" s="83"/>
      <c r="B594" s="84"/>
      <c r="C594" s="85"/>
      <c r="D594" s="93"/>
      <c r="E594" s="85"/>
      <c r="F594" s="88"/>
      <c r="G594" s="89"/>
      <c r="H594" s="89"/>
      <c r="I594" s="89"/>
      <c r="J594" s="89"/>
      <c r="K594" s="90"/>
      <c r="L594" s="91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92"/>
      <c r="AD594" s="2"/>
      <c r="AE594" s="2"/>
      <c r="AF594" s="2"/>
      <c r="AG594" s="2"/>
      <c r="AH594" s="2"/>
      <c r="AI594" s="2"/>
      <c r="AJ594" s="2"/>
      <c r="AK594" s="2"/>
      <c r="AL594" s="54"/>
      <c r="AM594" s="54"/>
      <c r="AN594" s="54"/>
      <c r="AO594" s="54"/>
    </row>
    <row r="595" customFormat="false" ht="11.25" hidden="false" customHeight="true" outlineLevel="0" collapsed="false">
      <c r="A595" s="83"/>
      <c r="B595" s="84"/>
      <c r="C595" s="85"/>
      <c r="D595" s="93"/>
      <c r="E595" s="85"/>
      <c r="F595" s="88"/>
      <c r="G595" s="89"/>
      <c r="H595" s="89"/>
      <c r="I595" s="89"/>
      <c r="J595" s="89"/>
      <c r="K595" s="90"/>
      <c r="L595" s="91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92"/>
      <c r="AD595" s="2"/>
      <c r="AE595" s="2"/>
      <c r="AF595" s="2"/>
      <c r="AG595" s="2"/>
      <c r="AH595" s="2"/>
      <c r="AI595" s="2"/>
      <c r="AJ595" s="2"/>
      <c r="AK595" s="2"/>
      <c r="AL595" s="54"/>
      <c r="AM595" s="54"/>
      <c r="AN595" s="54"/>
      <c r="AO595" s="54"/>
    </row>
    <row r="596" customFormat="false" ht="11.25" hidden="false" customHeight="true" outlineLevel="0" collapsed="false">
      <c r="A596" s="83"/>
      <c r="B596" s="84"/>
      <c r="C596" s="85"/>
      <c r="D596" s="93"/>
      <c r="E596" s="85"/>
      <c r="F596" s="88"/>
      <c r="G596" s="89"/>
      <c r="H596" s="89"/>
      <c r="I596" s="89"/>
      <c r="J596" s="89"/>
      <c r="K596" s="90"/>
      <c r="L596" s="91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92"/>
      <c r="AD596" s="2"/>
      <c r="AE596" s="2"/>
      <c r="AF596" s="2"/>
      <c r="AG596" s="2"/>
      <c r="AH596" s="2"/>
      <c r="AI596" s="2"/>
      <c r="AJ596" s="2"/>
      <c r="AK596" s="2"/>
      <c r="AL596" s="54"/>
      <c r="AM596" s="54"/>
      <c r="AN596" s="54"/>
      <c r="AO596" s="54"/>
    </row>
    <row r="597" customFormat="false" ht="11.25" hidden="false" customHeight="true" outlineLevel="0" collapsed="false">
      <c r="A597" s="83"/>
      <c r="B597" s="84"/>
      <c r="C597" s="85"/>
      <c r="D597" s="93"/>
      <c r="E597" s="85"/>
      <c r="F597" s="88"/>
      <c r="G597" s="89"/>
      <c r="H597" s="89"/>
      <c r="I597" s="89"/>
      <c r="J597" s="89"/>
      <c r="K597" s="90"/>
      <c r="L597" s="91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92"/>
      <c r="AD597" s="2"/>
      <c r="AE597" s="2"/>
      <c r="AF597" s="2"/>
      <c r="AG597" s="2"/>
      <c r="AH597" s="2"/>
      <c r="AI597" s="2"/>
      <c r="AJ597" s="2"/>
      <c r="AK597" s="2"/>
      <c r="AL597" s="54"/>
      <c r="AM597" s="54"/>
      <c r="AN597" s="54"/>
      <c r="AO597" s="54"/>
    </row>
    <row r="598" customFormat="false" ht="11.25" hidden="false" customHeight="true" outlineLevel="0" collapsed="false">
      <c r="A598" s="83"/>
      <c r="B598" s="84"/>
      <c r="C598" s="85"/>
      <c r="D598" s="93"/>
      <c r="E598" s="85"/>
      <c r="F598" s="88"/>
      <c r="G598" s="89"/>
      <c r="H598" s="89"/>
      <c r="I598" s="89"/>
      <c r="J598" s="89"/>
      <c r="K598" s="90"/>
      <c r="L598" s="91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92"/>
      <c r="AD598" s="2"/>
      <c r="AE598" s="2"/>
      <c r="AF598" s="2"/>
      <c r="AG598" s="2"/>
      <c r="AH598" s="2"/>
      <c r="AI598" s="2"/>
      <c r="AJ598" s="2"/>
      <c r="AK598" s="2"/>
      <c r="AL598" s="54"/>
      <c r="AM598" s="54"/>
      <c r="AN598" s="54"/>
      <c r="AO598" s="54"/>
    </row>
    <row r="599" customFormat="false" ht="11.25" hidden="false" customHeight="true" outlineLevel="0" collapsed="false">
      <c r="A599" s="83"/>
      <c r="B599" s="84"/>
      <c r="C599" s="85"/>
      <c r="D599" s="93"/>
      <c r="E599" s="85"/>
      <c r="F599" s="88"/>
      <c r="G599" s="89"/>
      <c r="H599" s="89"/>
      <c r="I599" s="89"/>
      <c r="J599" s="89"/>
      <c r="K599" s="90"/>
      <c r="L599" s="91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92"/>
      <c r="AD599" s="2"/>
      <c r="AE599" s="2"/>
      <c r="AF599" s="2"/>
      <c r="AG599" s="2"/>
      <c r="AH599" s="2"/>
      <c r="AI599" s="2"/>
      <c r="AJ599" s="2"/>
      <c r="AK599" s="2"/>
      <c r="AL599" s="54"/>
      <c r="AM599" s="54"/>
      <c r="AN599" s="54"/>
      <c r="AO599" s="54"/>
    </row>
    <row r="600" customFormat="false" ht="11.25" hidden="false" customHeight="true" outlineLevel="0" collapsed="false">
      <c r="A600" s="83"/>
      <c r="B600" s="84"/>
      <c r="C600" s="85"/>
      <c r="D600" s="93"/>
      <c r="E600" s="85"/>
      <c r="F600" s="88"/>
      <c r="G600" s="89"/>
      <c r="H600" s="89"/>
      <c r="I600" s="89"/>
      <c r="J600" s="89"/>
      <c r="K600" s="90"/>
      <c r="L600" s="91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92"/>
      <c r="AD600" s="2"/>
      <c r="AE600" s="2"/>
      <c r="AF600" s="2"/>
      <c r="AG600" s="2"/>
      <c r="AH600" s="2"/>
      <c r="AI600" s="2"/>
      <c r="AJ600" s="2"/>
      <c r="AK600" s="2"/>
      <c r="AL600" s="54"/>
      <c r="AM600" s="54"/>
      <c r="AN600" s="54"/>
      <c r="AO600" s="54"/>
    </row>
    <row r="601" customFormat="false" ht="11.25" hidden="false" customHeight="true" outlineLevel="0" collapsed="false">
      <c r="A601" s="83"/>
      <c r="B601" s="84"/>
      <c r="C601" s="85"/>
      <c r="D601" s="93"/>
      <c r="E601" s="85"/>
      <c r="F601" s="88"/>
      <c r="G601" s="89"/>
      <c r="H601" s="89"/>
      <c r="I601" s="89"/>
      <c r="J601" s="89"/>
      <c r="K601" s="90"/>
      <c r="L601" s="91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92"/>
      <c r="AD601" s="2"/>
      <c r="AE601" s="2"/>
      <c r="AF601" s="2"/>
      <c r="AG601" s="2"/>
      <c r="AH601" s="2"/>
      <c r="AI601" s="2"/>
      <c r="AJ601" s="2"/>
      <c r="AK601" s="2"/>
      <c r="AL601" s="54"/>
      <c r="AM601" s="54"/>
      <c r="AN601" s="54"/>
      <c r="AO601" s="54"/>
    </row>
    <row r="602" customFormat="false" ht="11.25" hidden="false" customHeight="true" outlineLevel="0" collapsed="false">
      <c r="A602" s="83"/>
      <c r="B602" s="84"/>
      <c r="C602" s="85"/>
      <c r="D602" s="93"/>
      <c r="E602" s="85"/>
      <c r="F602" s="88"/>
      <c r="G602" s="89"/>
      <c r="H602" s="89"/>
      <c r="I602" s="89"/>
      <c r="J602" s="89"/>
      <c r="K602" s="90"/>
      <c r="L602" s="91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92"/>
      <c r="AD602" s="2"/>
      <c r="AE602" s="2"/>
      <c r="AF602" s="2"/>
      <c r="AG602" s="2"/>
      <c r="AH602" s="2"/>
      <c r="AI602" s="2"/>
      <c r="AJ602" s="2"/>
      <c r="AK602" s="2"/>
      <c r="AL602" s="54"/>
      <c r="AM602" s="54"/>
      <c r="AN602" s="54"/>
      <c r="AO602" s="54"/>
    </row>
    <row r="603" customFormat="false" ht="11.25" hidden="false" customHeight="true" outlineLevel="0" collapsed="false">
      <c r="A603" s="83"/>
      <c r="B603" s="84"/>
      <c r="C603" s="85"/>
      <c r="D603" s="93"/>
      <c r="E603" s="85"/>
      <c r="F603" s="88"/>
      <c r="G603" s="89"/>
      <c r="H603" s="89"/>
      <c r="I603" s="89"/>
      <c r="J603" s="89"/>
      <c r="K603" s="90"/>
      <c r="L603" s="91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92"/>
      <c r="AD603" s="2"/>
      <c r="AE603" s="2"/>
      <c r="AF603" s="2"/>
      <c r="AG603" s="2"/>
      <c r="AH603" s="2"/>
      <c r="AI603" s="2"/>
      <c r="AJ603" s="2"/>
      <c r="AK603" s="2"/>
      <c r="AL603" s="54"/>
      <c r="AM603" s="54"/>
      <c r="AN603" s="54"/>
      <c r="AO603" s="54"/>
    </row>
    <row r="604" customFormat="false" ht="11.25" hidden="false" customHeight="true" outlineLevel="0" collapsed="false">
      <c r="A604" s="83"/>
      <c r="B604" s="84"/>
      <c r="C604" s="85"/>
      <c r="D604" s="93"/>
      <c r="E604" s="85"/>
      <c r="F604" s="88"/>
      <c r="G604" s="89"/>
      <c r="H604" s="89"/>
      <c r="I604" s="89"/>
      <c r="J604" s="89"/>
      <c r="K604" s="90"/>
      <c r="L604" s="91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92"/>
      <c r="AD604" s="2"/>
      <c r="AE604" s="2"/>
      <c r="AF604" s="2"/>
      <c r="AG604" s="2"/>
      <c r="AH604" s="2"/>
      <c r="AI604" s="2"/>
      <c r="AJ604" s="2"/>
      <c r="AK604" s="2"/>
      <c r="AL604" s="54"/>
      <c r="AM604" s="54"/>
      <c r="AN604" s="54"/>
      <c r="AO604" s="54"/>
    </row>
    <row r="605" customFormat="false" ht="11.25" hidden="false" customHeight="true" outlineLevel="0" collapsed="false">
      <c r="A605" s="83"/>
      <c r="B605" s="84"/>
      <c r="C605" s="85"/>
      <c r="D605" s="93"/>
      <c r="E605" s="85"/>
      <c r="F605" s="88"/>
      <c r="G605" s="89"/>
      <c r="H605" s="89"/>
      <c r="I605" s="89"/>
      <c r="J605" s="89"/>
      <c r="K605" s="90"/>
      <c r="L605" s="91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92"/>
      <c r="AD605" s="2"/>
      <c r="AE605" s="2"/>
      <c r="AF605" s="2"/>
      <c r="AG605" s="2"/>
      <c r="AH605" s="2"/>
      <c r="AI605" s="2"/>
      <c r="AJ605" s="2"/>
      <c r="AK605" s="2"/>
      <c r="AL605" s="54"/>
      <c r="AM605" s="54"/>
      <c r="AN605" s="54"/>
      <c r="AO605" s="54"/>
    </row>
    <row r="606" customFormat="false" ht="11.25" hidden="false" customHeight="true" outlineLevel="0" collapsed="false">
      <c r="A606" s="83"/>
      <c r="B606" s="84"/>
      <c r="C606" s="85"/>
      <c r="D606" s="93"/>
      <c r="E606" s="85"/>
      <c r="F606" s="88"/>
      <c r="G606" s="89"/>
      <c r="H606" s="89"/>
      <c r="I606" s="89"/>
      <c r="J606" s="89"/>
      <c r="K606" s="90"/>
      <c r="L606" s="91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92"/>
      <c r="AD606" s="2"/>
      <c r="AE606" s="2"/>
      <c r="AF606" s="2"/>
      <c r="AG606" s="2"/>
      <c r="AH606" s="2"/>
      <c r="AI606" s="2"/>
      <c r="AJ606" s="2"/>
      <c r="AK606" s="2"/>
      <c r="AL606" s="54"/>
      <c r="AM606" s="54"/>
      <c r="AN606" s="54"/>
      <c r="AO606" s="54"/>
    </row>
    <row r="607" customFormat="false" ht="11.25" hidden="false" customHeight="true" outlineLevel="0" collapsed="false">
      <c r="A607" s="83"/>
      <c r="B607" s="84"/>
      <c r="C607" s="85"/>
      <c r="D607" s="93"/>
      <c r="E607" s="85"/>
      <c r="F607" s="88"/>
      <c r="G607" s="89"/>
      <c r="H607" s="89"/>
      <c r="I607" s="89"/>
      <c r="J607" s="89"/>
      <c r="K607" s="90"/>
      <c r="L607" s="91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92"/>
      <c r="AD607" s="2"/>
      <c r="AE607" s="2"/>
      <c r="AF607" s="2"/>
      <c r="AG607" s="2"/>
      <c r="AH607" s="2"/>
      <c r="AI607" s="2"/>
      <c r="AJ607" s="2"/>
      <c r="AK607" s="2"/>
      <c r="AL607" s="54"/>
      <c r="AM607" s="54"/>
      <c r="AN607" s="54"/>
      <c r="AO607" s="54"/>
    </row>
    <row r="608" customFormat="false" ht="11.25" hidden="false" customHeight="true" outlineLevel="0" collapsed="false">
      <c r="A608" s="83"/>
      <c r="B608" s="84"/>
      <c r="C608" s="85"/>
      <c r="D608" s="93"/>
      <c r="E608" s="85"/>
      <c r="F608" s="88"/>
      <c r="G608" s="89"/>
      <c r="H608" s="89"/>
      <c r="I608" s="89"/>
      <c r="J608" s="89"/>
      <c r="K608" s="90"/>
      <c r="L608" s="91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92"/>
      <c r="AD608" s="2"/>
      <c r="AE608" s="2"/>
      <c r="AF608" s="2"/>
      <c r="AG608" s="2"/>
      <c r="AH608" s="2"/>
      <c r="AI608" s="2"/>
      <c r="AJ608" s="2"/>
      <c r="AK608" s="2"/>
      <c r="AL608" s="54"/>
      <c r="AM608" s="54"/>
      <c r="AN608" s="54"/>
      <c r="AO608" s="54"/>
    </row>
    <row r="609" customFormat="false" ht="11.25" hidden="false" customHeight="true" outlineLevel="0" collapsed="false">
      <c r="A609" s="83"/>
      <c r="B609" s="84"/>
      <c r="C609" s="85"/>
      <c r="D609" s="93"/>
      <c r="E609" s="85"/>
      <c r="F609" s="88"/>
      <c r="G609" s="89"/>
      <c r="H609" s="89"/>
      <c r="I609" s="89"/>
      <c r="J609" s="89"/>
      <c r="K609" s="90"/>
      <c r="L609" s="91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92"/>
      <c r="AD609" s="2"/>
      <c r="AE609" s="2"/>
      <c r="AF609" s="2"/>
      <c r="AG609" s="2"/>
      <c r="AH609" s="2"/>
      <c r="AI609" s="2"/>
      <c r="AJ609" s="2"/>
      <c r="AK609" s="2"/>
      <c r="AL609" s="54"/>
      <c r="AM609" s="54"/>
      <c r="AN609" s="54"/>
      <c r="AO609" s="54"/>
    </row>
    <row r="610" customFormat="false" ht="11.25" hidden="false" customHeight="true" outlineLevel="0" collapsed="false">
      <c r="A610" s="83"/>
      <c r="B610" s="84"/>
      <c r="C610" s="85"/>
      <c r="D610" s="93"/>
      <c r="E610" s="85"/>
      <c r="F610" s="88"/>
      <c r="G610" s="89"/>
      <c r="H610" s="89"/>
      <c r="I610" s="89"/>
      <c r="J610" s="89"/>
      <c r="K610" s="90"/>
      <c r="L610" s="91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92"/>
      <c r="AD610" s="2"/>
      <c r="AE610" s="2"/>
      <c r="AF610" s="2"/>
      <c r="AG610" s="2"/>
      <c r="AH610" s="2"/>
      <c r="AI610" s="2"/>
      <c r="AJ610" s="2"/>
      <c r="AK610" s="2"/>
      <c r="AL610" s="54"/>
      <c r="AM610" s="54"/>
      <c r="AN610" s="54"/>
      <c r="AO610" s="54"/>
    </row>
    <row r="611" customFormat="false" ht="11.25" hidden="false" customHeight="true" outlineLevel="0" collapsed="false">
      <c r="A611" s="83"/>
      <c r="B611" s="84"/>
      <c r="C611" s="85"/>
      <c r="D611" s="93"/>
      <c r="E611" s="85"/>
      <c r="F611" s="88"/>
      <c r="G611" s="89"/>
      <c r="H611" s="89"/>
      <c r="I611" s="89"/>
      <c r="J611" s="89"/>
      <c r="K611" s="90"/>
      <c r="L611" s="91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92"/>
      <c r="AD611" s="2"/>
      <c r="AE611" s="2"/>
      <c r="AF611" s="2"/>
      <c r="AG611" s="2"/>
      <c r="AH611" s="2"/>
      <c r="AI611" s="2"/>
      <c r="AJ611" s="2"/>
      <c r="AK611" s="2"/>
      <c r="AL611" s="54"/>
      <c r="AM611" s="54"/>
      <c r="AN611" s="54"/>
      <c r="AO611" s="54"/>
    </row>
    <row r="612" customFormat="false" ht="11.25" hidden="false" customHeight="true" outlineLevel="0" collapsed="false">
      <c r="A612" s="83"/>
      <c r="B612" s="84"/>
      <c r="C612" s="85"/>
      <c r="D612" s="93"/>
      <c r="E612" s="85"/>
      <c r="F612" s="88"/>
      <c r="G612" s="89"/>
      <c r="H612" s="89"/>
      <c r="I612" s="89"/>
      <c r="J612" s="89"/>
      <c r="K612" s="90"/>
      <c r="L612" s="91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92"/>
      <c r="AD612" s="2"/>
      <c r="AE612" s="2"/>
      <c r="AF612" s="2"/>
      <c r="AG612" s="2"/>
      <c r="AH612" s="2"/>
      <c r="AI612" s="2"/>
      <c r="AJ612" s="2"/>
      <c r="AK612" s="2"/>
      <c r="AL612" s="54"/>
      <c r="AM612" s="54"/>
      <c r="AN612" s="54"/>
      <c r="AO612" s="54"/>
    </row>
    <row r="613" customFormat="false" ht="11.25" hidden="false" customHeight="true" outlineLevel="0" collapsed="false">
      <c r="A613" s="83"/>
      <c r="B613" s="84"/>
      <c r="C613" s="85"/>
      <c r="D613" s="93"/>
      <c r="E613" s="85"/>
      <c r="F613" s="88"/>
      <c r="G613" s="89"/>
      <c r="H613" s="89"/>
      <c r="I613" s="89"/>
      <c r="J613" s="89"/>
      <c r="K613" s="90"/>
      <c r="L613" s="91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92"/>
      <c r="AD613" s="2"/>
      <c r="AE613" s="2"/>
      <c r="AF613" s="2"/>
      <c r="AG613" s="2"/>
      <c r="AH613" s="2"/>
      <c r="AI613" s="2"/>
      <c r="AJ613" s="2"/>
      <c r="AK613" s="2"/>
      <c r="AL613" s="54"/>
      <c r="AM613" s="54"/>
      <c r="AN613" s="54"/>
      <c r="AO613" s="54"/>
    </row>
    <row r="614" customFormat="false" ht="11.25" hidden="false" customHeight="true" outlineLevel="0" collapsed="false">
      <c r="A614" s="83"/>
      <c r="B614" s="84"/>
      <c r="C614" s="85"/>
      <c r="D614" s="93"/>
      <c r="E614" s="85"/>
      <c r="F614" s="88"/>
      <c r="G614" s="89"/>
      <c r="H614" s="89"/>
      <c r="I614" s="89"/>
      <c r="J614" s="89"/>
      <c r="K614" s="90"/>
      <c r="L614" s="91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92"/>
      <c r="AD614" s="2"/>
      <c r="AE614" s="2"/>
      <c r="AF614" s="2"/>
      <c r="AG614" s="2"/>
      <c r="AH614" s="2"/>
      <c r="AI614" s="2"/>
      <c r="AJ614" s="2"/>
      <c r="AK614" s="2"/>
      <c r="AL614" s="54"/>
      <c r="AM614" s="54"/>
      <c r="AN614" s="54"/>
      <c r="AO614" s="54"/>
    </row>
    <row r="615" customFormat="false" ht="11.25" hidden="false" customHeight="true" outlineLevel="0" collapsed="false">
      <c r="A615" s="83"/>
      <c r="B615" s="84"/>
      <c r="C615" s="85"/>
      <c r="D615" s="93"/>
      <c r="E615" s="85"/>
      <c r="F615" s="88"/>
      <c r="G615" s="89"/>
      <c r="H615" s="89"/>
      <c r="I615" s="89"/>
      <c r="J615" s="89"/>
      <c r="K615" s="90"/>
      <c r="L615" s="91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92"/>
      <c r="AD615" s="2"/>
      <c r="AE615" s="2"/>
      <c r="AF615" s="2"/>
      <c r="AG615" s="2"/>
      <c r="AH615" s="2"/>
      <c r="AI615" s="2"/>
      <c r="AJ615" s="2"/>
      <c r="AK615" s="2"/>
      <c r="AL615" s="54"/>
      <c r="AM615" s="54"/>
      <c r="AN615" s="54"/>
      <c r="AO615" s="54"/>
    </row>
    <row r="616" customFormat="false" ht="11.25" hidden="false" customHeight="true" outlineLevel="0" collapsed="false">
      <c r="A616" s="83"/>
      <c r="B616" s="84"/>
      <c r="C616" s="85"/>
      <c r="D616" s="93"/>
      <c r="E616" s="85"/>
      <c r="F616" s="88"/>
      <c r="G616" s="89"/>
      <c r="H616" s="89"/>
      <c r="I616" s="89"/>
      <c r="J616" s="89"/>
      <c r="K616" s="90"/>
      <c r="L616" s="91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92"/>
      <c r="AD616" s="2"/>
      <c r="AE616" s="2"/>
      <c r="AF616" s="2"/>
      <c r="AG616" s="2"/>
      <c r="AH616" s="2"/>
      <c r="AI616" s="2"/>
      <c r="AJ616" s="2"/>
      <c r="AK616" s="2"/>
      <c r="AL616" s="54"/>
      <c r="AM616" s="54"/>
      <c r="AN616" s="54"/>
      <c r="AO616" s="54"/>
    </row>
    <row r="617" customFormat="false" ht="11.25" hidden="false" customHeight="true" outlineLevel="0" collapsed="false">
      <c r="A617" s="83"/>
      <c r="B617" s="84"/>
      <c r="C617" s="85"/>
      <c r="D617" s="93"/>
      <c r="E617" s="85"/>
      <c r="F617" s="88"/>
      <c r="G617" s="89"/>
      <c r="H617" s="89"/>
      <c r="I617" s="89"/>
      <c r="J617" s="89"/>
      <c r="K617" s="90"/>
      <c r="L617" s="91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92"/>
      <c r="AD617" s="2"/>
      <c r="AE617" s="2"/>
      <c r="AF617" s="2"/>
      <c r="AG617" s="2"/>
      <c r="AH617" s="2"/>
      <c r="AI617" s="2"/>
      <c r="AJ617" s="2"/>
      <c r="AK617" s="2"/>
      <c r="AL617" s="54"/>
      <c r="AM617" s="54"/>
      <c r="AN617" s="54"/>
      <c r="AO617" s="54"/>
    </row>
    <row r="618" customFormat="false" ht="11.25" hidden="false" customHeight="true" outlineLevel="0" collapsed="false">
      <c r="A618" s="83"/>
      <c r="B618" s="84"/>
      <c r="C618" s="85"/>
      <c r="D618" s="93"/>
      <c r="E618" s="85"/>
      <c r="F618" s="88"/>
      <c r="G618" s="89"/>
      <c r="H618" s="89"/>
      <c r="I618" s="89"/>
      <c r="J618" s="89"/>
      <c r="K618" s="90"/>
      <c r="L618" s="91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92"/>
      <c r="AD618" s="2"/>
      <c r="AE618" s="2"/>
      <c r="AF618" s="2"/>
      <c r="AG618" s="2"/>
      <c r="AH618" s="2"/>
      <c r="AI618" s="2"/>
      <c r="AJ618" s="2"/>
      <c r="AK618" s="2"/>
      <c r="AL618" s="54"/>
      <c r="AM618" s="54"/>
      <c r="AN618" s="54"/>
      <c r="AO618" s="54"/>
    </row>
    <row r="619" customFormat="false" ht="11.25" hidden="false" customHeight="true" outlineLevel="0" collapsed="false">
      <c r="A619" s="83"/>
      <c r="B619" s="84"/>
      <c r="C619" s="85"/>
      <c r="D619" s="93"/>
      <c r="E619" s="85"/>
      <c r="F619" s="88"/>
      <c r="G619" s="89"/>
      <c r="H619" s="89"/>
      <c r="I619" s="89"/>
      <c r="J619" s="89"/>
      <c r="K619" s="90"/>
      <c r="L619" s="91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92"/>
      <c r="AD619" s="2"/>
      <c r="AE619" s="2"/>
      <c r="AF619" s="2"/>
      <c r="AG619" s="2"/>
      <c r="AH619" s="2"/>
      <c r="AI619" s="2"/>
      <c r="AJ619" s="2"/>
      <c r="AK619" s="2"/>
      <c r="AL619" s="54"/>
      <c r="AM619" s="54"/>
      <c r="AN619" s="54"/>
      <c r="AO619" s="54"/>
    </row>
    <row r="620" customFormat="false" ht="11.25" hidden="false" customHeight="true" outlineLevel="0" collapsed="false">
      <c r="A620" s="83"/>
      <c r="B620" s="84"/>
      <c r="C620" s="85"/>
      <c r="D620" s="93"/>
      <c r="E620" s="85"/>
      <c r="F620" s="88"/>
      <c r="G620" s="89"/>
      <c r="H620" s="89"/>
      <c r="I620" s="89"/>
      <c r="J620" s="89"/>
      <c r="K620" s="90"/>
      <c r="L620" s="91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92"/>
      <c r="AD620" s="2"/>
      <c r="AE620" s="2"/>
      <c r="AF620" s="2"/>
      <c r="AG620" s="2"/>
      <c r="AH620" s="2"/>
      <c r="AI620" s="2"/>
      <c r="AJ620" s="2"/>
      <c r="AK620" s="2"/>
      <c r="AL620" s="54"/>
      <c r="AM620" s="54"/>
      <c r="AN620" s="54"/>
      <c r="AO620" s="54"/>
    </row>
    <row r="621" customFormat="false" ht="11.25" hidden="false" customHeight="true" outlineLevel="0" collapsed="false">
      <c r="A621" s="83"/>
      <c r="B621" s="84"/>
      <c r="C621" s="85"/>
      <c r="D621" s="93"/>
      <c r="E621" s="85"/>
      <c r="F621" s="88"/>
      <c r="G621" s="89"/>
      <c r="H621" s="89"/>
      <c r="I621" s="89"/>
      <c r="J621" s="89"/>
      <c r="K621" s="90"/>
      <c r="L621" s="91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92"/>
      <c r="AD621" s="2"/>
      <c r="AE621" s="2"/>
      <c r="AF621" s="2"/>
      <c r="AG621" s="2"/>
      <c r="AH621" s="2"/>
      <c r="AI621" s="2"/>
      <c r="AJ621" s="2"/>
      <c r="AK621" s="2"/>
      <c r="AL621" s="54"/>
      <c r="AM621" s="54"/>
      <c r="AN621" s="54"/>
      <c r="AO621" s="54"/>
    </row>
    <row r="622" customFormat="false" ht="11.25" hidden="false" customHeight="true" outlineLevel="0" collapsed="false">
      <c r="A622" s="83"/>
      <c r="B622" s="84"/>
      <c r="C622" s="85"/>
      <c r="D622" s="93"/>
      <c r="E622" s="85"/>
      <c r="F622" s="88"/>
      <c r="G622" s="89"/>
      <c r="H622" s="89"/>
      <c r="I622" s="89"/>
      <c r="J622" s="89"/>
      <c r="K622" s="90"/>
      <c r="L622" s="91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92"/>
      <c r="AD622" s="2"/>
      <c r="AE622" s="2"/>
      <c r="AF622" s="2"/>
      <c r="AG622" s="2"/>
      <c r="AH622" s="2"/>
      <c r="AI622" s="2"/>
      <c r="AJ622" s="2"/>
      <c r="AK622" s="2"/>
      <c r="AL622" s="54"/>
      <c r="AM622" s="54"/>
      <c r="AN622" s="54"/>
      <c r="AO622" s="54"/>
    </row>
    <row r="623" customFormat="false" ht="11.25" hidden="false" customHeight="true" outlineLevel="0" collapsed="false">
      <c r="A623" s="83"/>
      <c r="B623" s="84"/>
      <c r="C623" s="85"/>
      <c r="D623" s="93"/>
      <c r="E623" s="85"/>
      <c r="F623" s="88"/>
      <c r="G623" s="89"/>
      <c r="H623" s="89"/>
      <c r="I623" s="89"/>
      <c r="J623" s="89"/>
      <c r="K623" s="90"/>
      <c r="L623" s="91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92"/>
      <c r="AD623" s="2"/>
      <c r="AE623" s="2"/>
      <c r="AF623" s="2"/>
      <c r="AG623" s="2"/>
      <c r="AH623" s="2"/>
      <c r="AI623" s="2"/>
      <c r="AJ623" s="2"/>
      <c r="AK623" s="2"/>
      <c r="AL623" s="54"/>
      <c r="AM623" s="54"/>
      <c r="AN623" s="54"/>
      <c r="AO623" s="54"/>
    </row>
    <row r="624" customFormat="false" ht="11.25" hidden="false" customHeight="true" outlineLevel="0" collapsed="false">
      <c r="A624" s="83"/>
      <c r="B624" s="84"/>
      <c r="C624" s="85"/>
      <c r="D624" s="93"/>
      <c r="E624" s="85"/>
      <c r="F624" s="88"/>
      <c r="G624" s="89"/>
      <c r="H624" s="89"/>
      <c r="I624" s="89"/>
      <c r="J624" s="89"/>
      <c r="K624" s="90"/>
      <c r="L624" s="91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92"/>
      <c r="AD624" s="2"/>
      <c r="AE624" s="2"/>
      <c r="AF624" s="2"/>
      <c r="AG624" s="2"/>
      <c r="AH624" s="2"/>
      <c r="AI624" s="2"/>
      <c r="AJ624" s="2"/>
      <c r="AK624" s="2"/>
      <c r="AL624" s="54"/>
      <c r="AM624" s="54"/>
      <c r="AN624" s="54"/>
      <c r="AO624" s="54"/>
    </row>
    <row r="625" customFormat="false" ht="11.25" hidden="false" customHeight="true" outlineLevel="0" collapsed="false">
      <c r="A625" s="83"/>
      <c r="B625" s="84"/>
      <c r="C625" s="85"/>
      <c r="D625" s="93"/>
      <c r="E625" s="85"/>
      <c r="F625" s="88"/>
      <c r="G625" s="89"/>
      <c r="H625" s="89"/>
      <c r="I625" s="89"/>
      <c r="J625" s="89"/>
      <c r="K625" s="90"/>
      <c r="L625" s="91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92"/>
      <c r="AD625" s="2"/>
      <c r="AE625" s="2"/>
      <c r="AF625" s="2"/>
      <c r="AG625" s="2"/>
      <c r="AH625" s="2"/>
      <c r="AI625" s="2"/>
      <c r="AJ625" s="2"/>
      <c r="AK625" s="2"/>
      <c r="AL625" s="54"/>
      <c r="AM625" s="54"/>
      <c r="AN625" s="54"/>
      <c r="AO625" s="54"/>
    </row>
    <row r="626" customFormat="false" ht="11.25" hidden="false" customHeight="true" outlineLevel="0" collapsed="false">
      <c r="A626" s="83"/>
      <c r="B626" s="84"/>
      <c r="C626" s="85"/>
      <c r="D626" s="93"/>
      <c r="E626" s="85"/>
      <c r="F626" s="88"/>
      <c r="G626" s="89"/>
      <c r="H626" s="89"/>
      <c r="I626" s="89"/>
      <c r="J626" s="89"/>
      <c r="K626" s="90"/>
      <c r="L626" s="91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92"/>
      <c r="AD626" s="2"/>
      <c r="AE626" s="2"/>
      <c r="AF626" s="2"/>
      <c r="AG626" s="2"/>
      <c r="AH626" s="2"/>
      <c r="AI626" s="2"/>
      <c r="AJ626" s="2"/>
      <c r="AK626" s="2"/>
      <c r="AL626" s="54"/>
      <c r="AM626" s="54"/>
      <c r="AN626" s="54"/>
      <c r="AO626" s="54"/>
    </row>
    <row r="627" customFormat="false" ht="11.25" hidden="false" customHeight="true" outlineLevel="0" collapsed="false">
      <c r="A627" s="83"/>
      <c r="B627" s="84"/>
      <c r="C627" s="85"/>
      <c r="D627" s="93"/>
      <c r="E627" s="85"/>
      <c r="F627" s="88"/>
      <c r="G627" s="89"/>
      <c r="H627" s="89"/>
      <c r="I627" s="89"/>
      <c r="J627" s="89"/>
      <c r="K627" s="90"/>
      <c r="L627" s="91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92"/>
      <c r="AD627" s="2"/>
      <c r="AE627" s="2"/>
      <c r="AF627" s="2"/>
      <c r="AG627" s="2"/>
      <c r="AH627" s="2"/>
      <c r="AI627" s="2"/>
      <c r="AJ627" s="2"/>
      <c r="AK627" s="2"/>
      <c r="AL627" s="54"/>
      <c r="AM627" s="54"/>
      <c r="AN627" s="54"/>
      <c r="AO627" s="54"/>
    </row>
    <row r="628" customFormat="false" ht="11.25" hidden="false" customHeight="true" outlineLevel="0" collapsed="false">
      <c r="A628" s="83"/>
      <c r="B628" s="84"/>
      <c r="C628" s="85"/>
      <c r="D628" s="93"/>
      <c r="E628" s="85"/>
      <c r="F628" s="88"/>
      <c r="G628" s="89"/>
      <c r="H628" s="89"/>
      <c r="I628" s="89"/>
      <c r="J628" s="89"/>
      <c r="K628" s="90"/>
      <c r="L628" s="91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92"/>
      <c r="AD628" s="2"/>
      <c r="AE628" s="2"/>
      <c r="AF628" s="2"/>
      <c r="AG628" s="2"/>
      <c r="AH628" s="2"/>
      <c r="AI628" s="2"/>
      <c r="AJ628" s="2"/>
      <c r="AK628" s="2"/>
      <c r="AL628" s="54"/>
      <c r="AM628" s="54"/>
      <c r="AN628" s="54"/>
      <c r="AO628" s="54"/>
    </row>
    <row r="629" customFormat="false" ht="11.25" hidden="false" customHeight="true" outlineLevel="0" collapsed="false">
      <c r="A629" s="83"/>
      <c r="B629" s="84"/>
      <c r="C629" s="85"/>
      <c r="D629" s="93"/>
      <c r="E629" s="85"/>
      <c r="F629" s="88"/>
      <c r="G629" s="89"/>
      <c r="H629" s="89"/>
      <c r="I629" s="89"/>
      <c r="J629" s="89"/>
      <c r="K629" s="90"/>
      <c r="L629" s="91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92"/>
      <c r="AD629" s="2"/>
      <c r="AE629" s="2"/>
      <c r="AF629" s="2"/>
      <c r="AG629" s="2"/>
      <c r="AH629" s="2"/>
      <c r="AI629" s="2"/>
      <c r="AJ629" s="2"/>
      <c r="AK629" s="2"/>
      <c r="AL629" s="54"/>
      <c r="AM629" s="54"/>
      <c r="AN629" s="54"/>
      <c r="AO629" s="54"/>
    </row>
    <row r="630" customFormat="false" ht="11.25" hidden="false" customHeight="true" outlineLevel="0" collapsed="false">
      <c r="A630" s="83"/>
      <c r="B630" s="84"/>
      <c r="C630" s="85"/>
      <c r="D630" s="93"/>
      <c r="E630" s="85"/>
      <c r="F630" s="88"/>
      <c r="G630" s="89"/>
      <c r="H630" s="89"/>
      <c r="I630" s="89"/>
      <c r="J630" s="89"/>
      <c r="K630" s="90"/>
      <c r="L630" s="91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92"/>
      <c r="AD630" s="2"/>
      <c r="AE630" s="2"/>
      <c r="AF630" s="2"/>
      <c r="AG630" s="2"/>
      <c r="AH630" s="2"/>
      <c r="AI630" s="2"/>
      <c r="AJ630" s="2"/>
      <c r="AK630" s="2"/>
      <c r="AL630" s="54"/>
      <c r="AM630" s="54"/>
      <c r="AN630" s="54"/>
      <c r="AO630" s="54"/>
    </row>
    <row r="631" customFormat="false" ht="11.25" hidden="false" customHeight="true" outlineLevel="0" collapsed="false">
      <c r="A631" s="83"/>
      <c r="B631" s="84"/>
      <c r="C631" s="85"/>
      <c r="D631" s="93"/>
      <c r="E631" s="85"/>
      <c r="F631" s="88"/>
      <c r="G631" s="89"/>
      <c r="H631" s="89"/>
      <c r="I631" s="89"/>
      <c r="J631" s="89"/>
      <c r="K631" s="90"/>
      <c r="L631" s="91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92"/>
      <c r="AD631" s="2"/>
      <c r="AE631" s="2"/>
      <c r="AF631" s="2"/>
      <c r="AG631" s="2"/>
      <c r="AH631" s="2"/>
      <c r="AI631" s="2"/>
      <c r="AJ631" s="2"/>
      <c r="AK631" s="2"/>
      <c r="AL631" s="54"/>
      <c r="AM631" s="54"/>
      <c r="AN631" s="54"/>
      <c r="AO631" s="54"/>
    </row>
    <row r="632" customFormat="false" ht="11.25" hidden="false" customHeight="true" outlineLevel="0" collapsed="false">
      <c r="A632" s="83"/>
      <c r="B632" s="84"/>
      <c r="C632" s="85"/>
      <c r="D632" s="93"/>
      <c r="E632" s="85"/>
      <c r="F632" s="88"/>
      <c r="G632" s="89"/>
      <c r="H632" s="89"/>
      <c r="I632" s="89"/>
      <c r="J632" s="89"/>
      <c r="K632" s="90"/>
      <c r="L632" s="91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92"/>
      <c r="AD632" s="2"/>
      <c r="AE632" s="2"/>
      <c r="AF632" s="2"/>
      <c r="AG632" s="2"/>
      <c r="AH632" s="2"/>
      <c r="AI632" s="2"/>
      <c r="AJ632" s="2"/>
      <c r="AK632" s="2"/>
      <c r="AL632" s="54"/>
      <c r="AM632" s="54"/>
      <c r="AN632" s="54"/>
      <c r="AO632" s="54"/>
    </row>
    <row r="633" customFormat="false" ht="11.25" hidden="false" customHeight="true" outlineLevel="0" collapsed="false">
      <c r="A633" s="83"/>
      <c r="B633" s="84"/>
      <c r="C633" s="85"/>
      <c r="D633" s="93"/>
      <c r="E633" s="85"/>
      <c r="F633" s="88"/>
      <c r="G633" s="89"/>
      <c r="H633" s="89"/>
      <c r="I633" s="89"/>
      <c r="J633" s="89"/>
      <c r="K633" s="90"/>
      <c r="L633" s="91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92"/>
      <c r="AD633" s="2"/>
      <c r="AE633" s="2"/>
      <c r="AF633" s="2"/>
      <c r="AG633" s="2"/>
      <c r="AH633" s="2"/>
      <c r="AI633" s="2"/>
      <c r="AJ633" s="2"/>
      <c r="AK633" s="2"/>
      <c r="AL633" s="54"/>
      <c r="AM633" s="54"/>
      <c r="AN633" s="54"/>
      <c r="AO633" s="54"/>
    </row>
    <row r="634" customFormat="false" ht="11.25" hidden="false" customHeight="true" outlineLevel="0" collapsed="false">
      <c r="A634" s="83"/>
      <c r="B634" s="84"/>
      <c r="C634" s="85"/>
      <c r="D634" s="93"/>
      <c r="E634" s="85"/>
      <c r="F634" s="88"/>
      <c r="G634" s="89"/>
      <c r="H634" s="89"/>
      <c r="I634" s="89"/>
      <c r="J634" s="89"/>
      <c r="K634" s="90"/>
      <c r="L634" s="91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92"/>
      <c r="AD634" s="2"/>
      <c r="AE634" s="2"/>
      <c r="AF634" s="2"/>
      <c r="AG634" s="2"/>
      <c r="AH634" s="2"/>
      <c r="AI634" s="2"/>
      <c r="AJ634" s="2"/>
      <c r="AK634" s="2"/>
      <c r="AL634" s="54"/>
      <c r="AM634" s="54"/>
      <c r="AN634" s="54"/>
      <c r="AO634" s="54"/>
    </row>
    <row r="635" customFormat="false" ht="11.25" hidden="false" customHeight="true" outlineLevel="0" collapsed="false">
      <c r="A635" s="83"/>
      <c r="B635" s="84"/>
      <c r="C635" s="85"/>
      <c r="D635" s="93"/>
      <c r="E635" s="85"/>
      <c r="F635" s="88"/>
      <c r="G635" s="89"/>
      <c r="H635" s="89"/>
      <c r="I635" s="89"/>
      <c r="J635" s="89"/>
      <c r="K635" s="90"/>
      <c r="L635" s="91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92"/>
      <c r="AD635" s="2"/>
      <c r="AE635" s="2"/>
      <c r="AF635" s="2"/>
      <c r="AG635" s="2"/>
      <c r="AH635" s="2"/>
      <c r="AI635" s="2"/>
      <c r="AJ635" s="2"/>
      <c r="AK635" s="2"/>
      <c r="AL635" s="54"/>
      <c r="AM635" s="54"/>
      <c r="AN635" s="54"/>
      <c r="AO635" s="54"/>
    </row>
    <row r="636" customFormat="false" ht="11.25" hidden="false" customHeight="true" outlineLevel="0" collapsed="false">
      <c r="A636" s="83"/>
      <c r="B636" s="84"/>
      <c r="C636" s="85"/>
      <c r="D636" s="93"/>
      <c r="E636" s="85"/>
      <c r="F636" s="88"/>
      <c r="G636" s="89"/>
      <c r="H636" s="89"/>
      <c r="I636" s="89"/>
      <c r="J636" s="89"/>
      <c r="K636" s="90"/>
      <c r="L636" s="91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92"/>
      <c r="AD636" s="2"/>
      <c r="AE636" s="2"/>
      <c r="AF636" s="2"/>
      <c r="AG636" s="2"/>
      <c r="AH636" s="2"/>
      <c r="AI636" s="2"/>
      <c r="AJ636" s="2"/>
      <c r="AK636" s="2"/>
      <c r="AL636" s="54"/>
      <c r="AM636" s="54"/>
      <c r="AN636" s="54"/>
      <c r="AO636" s="54"/>
    </row>
    <row r="637" customFormat="false" ht="11.25" hidden="false" customHeight="true" outlineLevel="0" collapsed="false">
      <c r="A637" s="83"/>
      <c r="B637" s="84"/>
      <c r="C637" s="85"/>
      <c r="D637" s="93"/>
      <c r="E637" s="85"/>
      <c r="F637" s="88"/>
      <c r="G637" s="89"/>
      <c r="H637" s="89"/>
      <c r="I637" s="89"/>
      <c r="J637" s="89"/>
      <c r="K637" s="90"/>
      <c r="L637" s="91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92"/>
      <c r="AD637" s="2"/>
      <c r="AE637" s="2"/>
      <c r="AF637" s="2"/>
      <c r="AG637" s="2"/>
      <c r="AH637" s="2"/>
      <c r="AI637" s="2"/>
      <c r="AJ637" s="2"/>
      <c r="AK637" s="2"/>
      <c r="AL637" s="54"/>
      <c r="AM637" s="54"/>
      <c r="AN637" s="54"/>
      <c r="AO637" s="54"/>
    </row>
    <row r="638" customFormat="false" ht="11.25" hidden="false" customHeight="true" outlineLevel="0" collapsed="false">
      <c r="A638" s="83"/>
      <c r="B638" s="84"/>
      <c r="C638" s="85"/>
      <c r="D638" s="93"/>
      <c r="E638" s="85"/>
      <c r="F638" s="88"/>
      <c r="G638" s="89"/>
      <c r="H638" s="89"/>
      <c r="I638" s="89"/>
      <c r="J638" s="89"/>
      <c r="K638" s="90"/>
      <c r="L638" s="91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92"/>
      <c r="AD638" s="2"/>
      <c r="AE638" s="2"/>
      <c r="AF638" s="2"/>
      <c r="AG638" s="2"/>
      <c r="AH638" s="2"/>
      <c r="AI638" s="2"/>
      <c r="AJ638" s="2"/>
      <c r="AK638" s="2"/>
      <c r="AL638" s="54"/>
      <c r="AM638" s="54"/>
      <c r="AN638" s="54"/>
      <c r="AO638" s="54"/>
    </row>
    <row r="639" customFormat="false" ht="11.25" hidden="false" customHeight="true" outlineLevel="0" collapsed="false">
      <c r="A639" s="83"/>
      <c r="B639" s="84"/>
      <c r="C639" s="85"/>
      <c r="D639" s="93"/>
      <c r="E639" s="85"/>
      <c r="F639" s="88"/>
      <c r="G639" s="89"/>
      <c r="H639" s="89"/>
      <c r="I639" s="89"/>
      <c r="J639" s="89"/>
      <c r="K639" s="90"/>
      <c r="L639" s="91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92"/>
      <c r="AD639" s="2"/>
      <c r="AE639" s="2"/>
      <c r="AF639" s="2"/>
      <c r="AG639" s="2"/>
      <c r="AH639" s="2"/>
      <c r="AI639" s="2"/>
      <c r="AJ639" s="2"/>
      <c r="AK639" s="2"/>
      <c r="AL639" s="54"/>
      <c r="AM639" s="54"/>
      <c r="AN639" s="54"/>
      <c r="AO639" s="54"/>
    </row>
    <row r="640" customFormat="false" ht="11.25" hidden="false" customHeight="true" outlineLevel="0" collapsed="false">
      <c r="A640" s="83"/>
      <c r="B640" s="84"/>
      <c r="C640" s="85"/>
      <c r="D640" s="93"/>
      <c r="E640" s="85"/>
      <c r="F640" s="88"/>
      <c r="G640" s="89"/>
      <c r="H640" s="89"/>
      <c r="I640" s="89"/>
      <c r="J640" s="89"/>
      <c r="K640" s="90"/>
      <c r="L640" s="91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92"/>
      <c r="AD640" s="2"/>
      <c r="AE640" s="2"/>
      <c r="AF640" s="2"/>
      <c r="AG640" s="2"/>
      <c r="AH640" s="2"/>
      <c r="AI640" s="2"/>
      <c r="AJ640" s="2"/>
      <c r="AK640" s="2"/>
      <c r="AL640" s="54"/>
      <c r="AM640" s="54"/>
      <c r="AN640" s="54"/>
      <c r="AO640" s="54"/>
    </row>
    <row r="641" customFormat="false" ht="11.25" hidden="false" customHeight="true" outlineLevel="0" collapsed="false">
      <c r="A641" s="83"/>
      <c r="B641" s="84"/>
      <c r="C641" s="85"/>
      <c r="D641" s="93"/>
      <c r="E641" s="85"/>
      <c r="F641" s="88"/>
      <c r="G641" s="89"/>
      <c r="H641" s="89"/>
      <c r="I641" s="89"/>
      <c r="J641" s="89"/>
      <c r="K641" s="90"/>
      <c r="L641" s="91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92"/>
      <c r="AD641" s="2"/>
      <c r="AE641" s="2"/>
      <c r="AF641" s="2"/>
      <c r="AG641" s="2"/>
      <c r="AH641" s="2"/>
      <c r="AI641" s="2"/>
      <c r="AJ641" s="2"/>
      <c r="AK641" s="2"/>
      <c r="AL641" s="54"/>
      <c r="AM641" s="54"/>
      <c r="AN641" s="54"/>
      <c r="AO641" s="54"/>
    </row>
    <row r="642" customFormat="false" ht="11.25" hidden="false" customHeight="true" outlineLevel="0" collapsed="false">
      <c r="A642" s="83"/>
      <c r="B642" s="84"/>
      <c r="C642" s="85"/>
      <c r="D642" s="93"/>
      <c r="E642" s="85"/>
      <c r="F642" s="88"/>
      <c r="G642" s="89"/>
      <c r="H642" s="89"/>
      <c r="I642" s="89"/>
      <c r="J642" s="89"/>
      <c r="K642" s="90"/>
      <c r="L642" s="91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92"/>
      <c r="AD642" s="2"/>
      <c r="AE642" s="2"/>
      <c r="AF642" s="2"/>
      <c r="AG642" s="2"/>
      <c r="AH642" s="2"/>
      <c r="AI642" s="2"/>
      <c r="AJ642" s="2"/>
      <c r="AK642" s="2"/>
      <c r="AL642" s="54"/>
      <c r="AM642" s="54"/>
      <c r="AN642" s="54"/>
      <c r="AO642" s="54"/>
    </row>
    <row r="643" customFormat="false" ht="11.25" hidden="false" customHeight="true" outlineLevel="0" collapsed="false">
      <c r="A643" s="83"/>
      <c r="B643" s="84"/>
      <c r="C643" s="85"/>
      <c r="D643" s="93"/>
      <c r="E643" s="85"/>
      <c r="F643" s="88"/>
      <c r="G643" s="89"/>
      <c r="H643" s="89"/>
      <c r="I643" s="89"/>
      <c r="J643" s="89"/>
      <c r="K643" s="90"/>
      <c r="L643" s="91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92"/>
      <c r="AD643" s="2"/>
      <c r="AE643" s="2"/>
      <c r="AF643" s="2"/>
      <c r="AG643" s="2"/>
      <c r="AH643" s="2"/>
      <c r="AI643" s="2"/>
      <c r="AJ643" s="2"/>
      <c r="AK643" s="2"/>
      <c r="AL643" s="54"/>
      <c r="AM643" s="54"/>
      <c r="AN643" s="54"/>
      <c r="AO643" s="54"/>
    </row>
    <row r="644" customFormat="false" ht="11.25" hidden="false" customHeight="true" outlineLevel="0" collapsed="false">
      <c r="A644" s="83"/>
      <c r="B644" s="84"/>
      <c r="C644" s="85"/>
      <c r="D644" s="93"/>
      <c r="E644" s="85"/>
      <c r="F644" s="88"/>
      <c r="G644" s="89"/>
      <c r="H644" s="89"/>
      <c r="I644" s="89"/>
      <c r="J644" s="89"/>
      <c r="K644" s="90"/>
      <c r="L644" s="91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92"/>
      <c r="AD644" s="2"/>
      <c r="AE644" s="2"/>
      <c r="AF644" s="2"/>
      <c r="AG644" s="2"/>
      <c r="AH644" s="2"/>
      <c r="AI644" s="2"/>
      <c r="AJ644" s="2"/>
      <c r="AK644" s="2"/>
      <c r="AL644" s="54"/>
      <c r="AM644" s="54"/>
      <c r="AN644" s="54"/>
      <c r="AO644" s="54"/>
    </row>
    <row r="645" customFormat="false" ht="11.25" hidden="false" customHeight="true" outlineLevel="0" collapsed="false">
      <c r="A645" s="83"/>
      <c r="B645" s="84"/>
      <c r="C645" s="85"/>
      <c r="D645" s="93"/>
      <c r="E645" s="85"/>
      <c r="F645" s="88"/>
      <c r="G645" s="89"/>
      <c r="H645" s="89"/>
      <c r="I645" s="89"/>
      <c r="J645" s="89"/>
      <c r="K645" s="90"/>
      <c r="L645" s="91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92"/>
      <c r="AD645" s="2"/>
      <c r="AE645" s="2"/>
      <c r="AF645" s="2"/>
      <c r="AG645" s="2"/>
      <c r="AH645" s="2"/>
      <c r="AI645" s="2"/>
      <c r="AJ645" s="2"/>
      <c r="AK645" s="2"/>
      <c r="AL645" s="54"/>
      <c r="AM645" s="54"/>
      <c r="AN645" s="54"/>
      <c r="AO645" s="54"/>
    </row>
    <row r="646" customFormat="false" ht="11.25" hidden="false" customHeight="true" outlineLevel="0" collapsed="false">
      <c r="A646" s="83"/>
      <c r="B646" s="84"/>
      <c r="C646" s="85"/>
      <c r="D646" s="93"/>
      <c r="E646" s="85"/>
      <c r="F646" s="88"/>
      <c r="G646" s="89"/>
      <c r="H646" s="89"/>
      <c r="I646" s="89"/>
      <c r="J646" s="89"/>
      <c r="K646" s="90"/>
      <c r="L646" s="91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92"/>
      <c r="AD646" s="2"/>
      <c r="AE646" s="2"/>
      <c r="AF646" s="2"/>
      <c r="AG646" s="2"/>
      <c r="AH646" s="2"/>
      <c r="AI646" s="2"/>
      <c r="AJ646" s="2"/>
      <c r="AK646" s="2"/>
      <c r="AL646" s="54"/>
      <c r="AM646" s="54"/>
      <c r="AN646" s="54"/>
      <c r="AO646" s="54"/>
    </row>
    <row r="647" customFormat="false" ht="11.25" hidden="false" customHeight="true" outlineLevel="0" collapsed="false">
      <c r="A647" s="83"/>
      <c r="B647" s="84"/>
      <c r="C647" s="85"/>
      <c r="D647" s="93"/>
      <c r="E647" s="85"/>
      <c r="F647" s="88"/>
      <c r="G647" s="89"/>
      <c r="H647" s="89"/>
      <c r="I647" s="89"/>
      <c r="J647" s="89"/>
      <c r="K647" s="90"/>
      <c r="L647" s="91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92"/>
      <c r="AD647" s="2"/>
      <c r="AE647" s="2"/>
      <c r="AF647" s="2"/>
      <c r="AG647" s="2"/>
      <c r="AH647" s="2"/>
      <c r="AI647" s="2"/>
      <c r="AJ647" s="2"/>
      <c r="AK647" s="2"/>
      <c r="AL647" s="54"/>
      <c r="AM647" s="54"/>
      <c r="AN647" s="54"/>
      <c r="AO647" s="54"/>
    </row>
    <row r="648" customFormat="false" ht="11.25" hidden="false" customHeight="true" outlineLevel="0" collapsed="false">
      <c r="A648" s="83"/>
      <c r="B648" s="84"/>
      <c r="C648" s="85"/>
      <c r="D648" s="93"/>
      <c r="E648" s="85"/>
      <c r="F648" s="88"/>
      <c r="G648" s="89"/>
      <c r="H648" s="89"/>
      <c r="I648" s="89"/>
      <c r="J648" s="89"/>
      <c r="K648" s="90"/>
      <c r="L648" s="91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92"/>
      <c r="AD648" s="2"/>
      <c r="AE648" s="2"/>
      <c r="AF648" s="2"/>
      <c r="AG648" s="2"/>
      <c r="AH648" s="2"/>
      <c r="AI648" s="2"/>
      <c r="AJ648" s="2"/>
      <c r="AK648" s="2"/>
      <c r="AL648" s="54"/>
      <c r="AM648" s="54"/>
      <c r="AN648" s="54"/>
      <c r="AO648" s="54"/>
    </row>
    <row r="649" customFormat="false" ht="11.25" hidden="false" customHeight="true" outlineLevel="0" collapsed="false">
      <c r="A649" s="83"/>
      <c r="B649" s="84"/>
      <c r="C649" s="85"/>
      <c r="D649" s="93"/>
      <c r="E649" s="85"/>
      <c r="F649" s="88"/>
      <c r="G649" s="89"/>
      <c r="H649" s="89"/>
      <c r="I649" s="89"/>
      <c r="J649" s="89"/>
      <c r="K649" s="90"/>
      <c r="L649" s="91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92"/>
      <c r="AD649" s="2"/>
      <c r="AE649" s="2"/>
      <c r="AF649" s="2"/>
      <c r="AG649" s="2"/>
      <c r="AH649" s="2"/>
      <c r="AI649" s="2"/>
      <c r="AJ649" s="2"/>
      <c r="AK649" s="2"/>
      <c r="AL649" s="54"/>
      <c r="AM649" s="54"/>
      <c r="AN649" s="54"/>
      <c r="AO649" s="54"/>
    </row>
    <row r="650" customFormat="false" ht="11.25" hidden="false" customHeight="true" outlineLevel="0" collapsed="false">
      <c r="A650" s="83"/>
      <c r="B650" s="84"/>
      <c r="C650" s="85"/>
      <c r="D650" s="93"/>
      <c r="E650" s="85"/>
      <c r="F650" s="88"/>
      <c r="G650" s="89"/>
      <c r="H650" s="89"/>
      <c r="I650" s="89"/>
      <c r="J650" s="89"/>
      <c r="K650" s="90"/>
      <c r="L650" s="91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92"/>
      <c r="AD650" s="2"/>
      <c r="AE650" s="2"/>
      <c r="AF650" s="2"/>
      <c r="AG650" s="2"/>
      <c r="AH650" s="2"/>
      <c r="AI650" s="2"/>
      <c r="AJ650" s="2"/>
      <c r="AK650" s="2"/>
      <c r="AL650" s="54"/>
      <c r="AM650" s="54"/>
      <c r="AN650" s="54"/>
      <c r="AO650" s="54"/>
    </row>
    <row r="651" customFormat="false" ht="11.25" hidden="false" customHeight="true" outlineLevel="0" collapsed="false">
      <c r="A651" s="83"/>
      <c r="B651" s="84"/>
      <c r="C651" s="85"/>
      <c r="D651" s="93"/>
      <c r="E651" s="85"/>
      <c r="F651" s="88"/>
      <c r="G651" s="89"/>
      <c r="H651" s="89"/>
      <c r="I651" s="89"/>
      <c r="J651" s="89"/>
      <c r="K651" s="90"/>
      <c r="L651" s="91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92"/>
      <c r="AD651" s="2"/>
      <c r="AE651" s="2"/>
      <c r="AF651" s="2"/>
      <c r="AG651" s="2"/>
      <c r="AH651" s="2"/>
      <c r="AI651" s="2"/>
      <c r="AJ651" s="2"/>
      <c r="AK651" s="2"/>
      <c r="AL651" s="54"/>
      <c r="AM651" s="54"/>
      <c r="AN651" s="54"/>
      <c r="AO651" s="54"/>
    </row>
    <row r="652" customFormat="false" ht="11.25" hidden="false" customHeight="true" outlineLevel="0" collapsed="false">
      <c r="A652" s="83"/>
      <c r="B652" s="84"/>
      <c r="C652" s="85"/>
      <c r="D652" s="93"/>
      <c r="E652" s="85"/>
      <c r="F652" s="88"/>
      <c r="G652" s="89"/>
      <c r="H652" s="89"/>
      <c r="I652" s="89"/>
      <c r="J652" s="89"/>
      <c r="K652" s="90"/>
      <c r="L652" s="91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92"/>
      <c r="AD652" s="2"/>
      <c r="AE652" s="2"/>
      <c r="AF652" s="2"/>
      <c r="AG652" s="2"/>
      <c r="AH652" s="2"/>
      <c r="AI652" s="2"/>
      <c r="AJ652" s="2"/>
      <c r="AK652" s="2"/>
      <c r="AL652" s="54"/>
      <c r="AM652" s="54"/>
      <c r="AN652" s="54"/>
      <c r="AO652" s="54"/>
    </row>
    <row r="653" customFormat="false" ht="11.25" hidden="false" customHeight="true" outlineLevel="0" collapsed="false">
      <c r="A653" s="83"/>
      <c r="B653" s="84"/>
      <c r="C653" s="85"/>
      <c r="D653" s="93"/>
      <c r="E653" s="85"/>
      <c r="F653" s="88"/>
      <c r="G653" s="89"/>
      <c r="H653" s="89"/>
      <c r="I653" s="89"/>
      <c r="J653" s="89"/>
      <c r="K653" s="90"/>
      <c r="L653" s="91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92"/>
      <c r="AD653" s="2"/>
      <c r="AE653" s="2"/>
      <c r="AF653" s="2"/>
      <c r="AG653" s="2"/>
      <c r="AH653" s="2"/>
      <c r="AI653" s="2"/>
      <c r="AJ653" s="2"/>
      <c r="AK653" s="2"/>
      <c r="AL653" s="54"/>
      <c r="AM653" s="54"/>
      <c r="AN653" s="54"/>
      <c r="AO653" s="54"/>
    </row>
    <row r="654" customFormat="false" ht="11.25" hidden="false" customHeight="true" outlineLevel="0" collapsed="false">
      <c r="A654" s="83"/>
      <c r="B654" s="84"/>
      <c r="C654" s="85"/>
      <c r="D654" s="93"/>
      <c r="E654" s="85"/>
      <c r="F654" s="88"/>
      <c r="G654" s="89"/>
      <c r="H654" s="89"/>
      <c r="I654" s="89"/>
      <c r="J654" s="89"/>
      <c r="K654" s="90"/>
      <c r="L654" s="91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92"/>
      <c r="AD654" s="2"/>
      <c r="AE654" s="2"/>
      <c r="AF654" s="2"/>
      <c r="AG654" s="2"/>
      <c r="AH654" s="2"/>
      <c r="AI654" s="2"/>
      <c r="AJ654" s="2"/>
      <c r="AK654" s="2"/>
      <c r="AL654" s="54"/>
      <c r="AM654" s="54"/>
      <c r="AN654" s="54"/>
      <c r="AO654" s="54"/>
    </row>
    <row r="655" customFormat="false" ht="11.25" hidden="false" customHeight="true" outlineLevel="0" collapsed="false">
      <c r="A655" s="83"/>
      <c r="B655" s="84"/>
      <c r="C655" s="85"/>
      <c r="D655" s="93"/>
      <c r="E655" s="85"/>
      <c r="F655" s="88"/>
      <c r="G655" s="89"/>
      <c r="H655" s="89"/>
      <c r="I655" s="89"/>
      <c r="J655" s="89"/>
      <c r="K655" s="90"/>
      <c r="L655" s="91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92"/>
      <c r="AD655" s="2"/>
      <c r="AE655" s="2"/>
      <c r="AF655" s="2"/>
      <c r="AG655" s="2"/>
      <c r="AH655" s="2"/>
      <c r="AI655" s="2"/>
      <c r="AJ655" s="2"/>
      <c r="AK655" s="2"/>
      <c r="AL655" s="54"/>
      <c r="AM655" s="54"/>
      <c r="AN655" s="54"/>
      <c r="AO655" s="54"/>
    </row>
    <row r="656" customFormat="false" ht="11.25" hidden="false" customHeight="true" outlineLevel="0" collapsed="false">
      <c r="A656" s="83"/>
      <c r="B656" s="84"/>
      <c r="C656" s="85"/>
      <c r="D656" s="93"/>
      <c r="E656" s="85"/>
      <c r="F656" s="88"/>
      <c r="G656" s="89"/>
      <c r="H656" s="89"/>
      <c r="I656" s="89"/>
      <c r="J656" s="89"/>
      <c r="K656" s="90"/>
      <c r="L656" s="91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92"/>
      <c r="AD656" s="2"/>
      <c r="AE656" s="2"/>
      <c r="AF656" s="2"/>
      <c r="AG656" s="2"/>
      <c r="AH656" s="2"/>
      <c r="AI656" s="2"/>
      <c r="AJ656" s="2"/>
      <c r="AK656" s="2"/>
      <c r="AL656" s="54"/>
      <c r="AM656" s="54"/>
      <c r="AN656" s="54"/>
      <c r="AO656" s="54"/>
    </row>
    <row r="657" customFormat="false" ht="11.25" hidden="false" customHeight="true" outlineLevel="0" collapsed="false">
      <c r="A657" s="83"/>
      <c r="B657" s="84"/>
      <c r="C657" s="85"/>
      <c r="D657" s="93"/>
      <c r="E657" s="85"/>
      <c r="F657" s="88"/>
      <c r="G657" s="89"/>
      <c r="H657" s="89"/>
      <c r="I657" s="89"/>
      <c r="J657" s="89"/>
      <c r="K657" s="90"/>
      <c r="L657" s="91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92"/>
      <c r="AD657" s="2"/>
      <c r="AE657" s="2"/>
      <c r="AF657" s="2"/>
      <c r="AG657" s="2"/>
      <c r="AH657" s="2"/>
      <c r="AI657" s="2"/>
      <c r="AJ657" s="2"/>
      <c r="AK657" s="2"/>
      <c r="AL657" s="54"/>
      <c r="AM657" s="54"/>
      <c r="AN657" s="54"/>
      <c r="AO657" s="54"/>
    </row>
    <row r="658" customFormat="false" ht="11.25" hidden="false" customHeight="true" outlineLevel="0" collapsed="false">
      <c r="A658" s="83"/>
      <c r="B658" s="84"/>
      <c r="C658" s="85"/>
      <c r="D658" s="93"/>
      <c r="E658" s="85"/>
      <c r="F658" s="88"/>
      <c r="G658" s="89"/>
      <c r="H658" s="89"/>
      <c r="I658" s="89"/>
      <c r="J658" s="89"/>
      <c r="K658" s="90"/>
      <c r="L658" s="91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92"/>
      <c r="AD658" s="2"/>
      <c r="AE658" s="2"/>
      <c r="AF658" s="2"/>
      <c r="AG658" s="2"/>
      <c r="AH658" s="2"/>
      <c r="AI658" s="2"/>
      <c r="AJ658" s="2"/>
      <c r="AK658" s="2"/>
      <c r="AL658" s="54"/>
      <c r="AM658" s="54"/>
      <c r="AN658" s="54"/>
      <c r="AO658" s="54"/>
    </row>
    <row r="659" customFormat="false" ht="11.25" hidden="false" customHeight="true" outlineLevel="0" collapsed="false">
      <c r="A659" s="83"/>
      <c r="B659" s="84"/>
      <c r="C659" s="85"/>
      <c r="D659" s="93"/>
      <c r="E659" s="85"/>
      <c r="F659" s="88"/>
      <c r="G659" s="89"/>
      <c r="H659" s="89"/>
      <c r="I659" s="89"/>
      <c r="J659" s="89"/>
      <c r="K659" s="90"/>
      <c r="L659" s="91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92"/>
      <c r="AD659" s="2"/>
      <c r="AE659" s="2"/>
      <c r="AF659" s="2"/>
      <c r="AG659" s="2"/>
      <c r="AH659" s="2"/>
      <c r="AI659" s="2"/>
      <c r="AJ659" s="2"/>
      <c r="AK659" s="2"/>
      <c r="AL659" s="54"/>
      <c r="AM659" s="54"/>
      <c r="AN659" s="54"/>
      <c r="AO659" s="54"/>
    </row>
    <row r="660" customFormat="false" ht="11.25" hidden="false" customHeight="true" outlineLevel="0" collapsed="false">
      <c r="A660" s="83"/>
      <c r="B660" s="84"/>
      <c r="C660" s="85"/>
      <c r="D660" s="93"/>
      <c r="E660" s="85"/>
      <c r="F660" s="88"/>
      <c r="G660" s="89"/>
      <c r="H660" s="89"/>
      <c r="I660" s="89"/>
      <c r="J660" s="89"/>
      <c r="K660" s="90"/>
      <c r="L660" s="91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92"/>
      <c r="AD660" s="2"/>
      <c r="AE660" s="2"/>
      <c r="AF660" s="2"/>
      <c r="AG660" s="2"/>
      <c r="AH660" s="2"/>
      <c r="AI660" s="2"/>
      <c r="AJ660" s="2"/>
      <c r="AK660" s="2"/>
      <c r="AL660" s="54"/>
      <c r="AM660" s="54"/>
      <c r="AN660" s="54"/>
      <c r="AO660" s="54"/>
    </row>
    <row r="661" customFormat="false" ht="11.25" hidden="false" customHeight="true" outlineLevel="0" collapsed="false">
      <c r="A661" s="83"/>
      <c r="B661" s="84"/>
      <c r="C661" s="85"/>
      <c r="D661" s="93"/>
      <c r="E661" s="85"/>
      <c r="F661" s="88"/>
      <c r="G661" s="89"/>
      <c r="H661" s="89"/>
      <c r="I661" s="89"/>
      <c r="J661" s="89"/>
      <c r="K661" s="90"/>
      <c r="L661" s="91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92"/>
      <c r="AD661" s="2"/>
      <c r="AE661" s="2"/>
      <c r="AF661" s="2"/>
      <c r="AG661" s="2"/>
      <c r="AH661" s="2"/>
      <c r="AI661" s="2"/>
      <c r="AJ661" s="2"/>
      <c r="AK661" s="2"/>
      <c r="AL661" s="54"/>
      <c r="AM661" s="54"/>
      <c r="AN661" s="54"/>
      <c r="AO661" s="54"/>
    </row>
    <row r="662" customFormat="false" ht="11.25" hidden="false" customHeight="true" outlineLevel="0" collapsed="false">
      <c r="A662" s="83"/>
      <c r="B662" s="84"/>
      <c r="C662" s="85"/>
      <c r="D662" s="93"/>
      <c r="E662" s="85"/>
      <c r="F662" s="88"/>
      <c r="G662" s="89"/>
      <c r="H662" s="89"/>
      <c r="I662" s="89"/>
      <c r="J662" s="89"/>
      <c r="K662" s="90"/>
      <c r="L662" s="91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92"/>
      <c r="AD662" s="2"/>
      <c r="AE662" s="2"/>
      <c r="AF662" s="2"/>
      <c r="AG662" s="2"/>
      <c r="AH662" s="2"/>
      <c r="AI662" s="2"/>
      <c r="AJ662" s="2"/>
      <c r="AK662" s="2"/>
      <c r="AL662" s="54"/>
      <c r="AM662" s="54"/>
      <c r="AN662" s="54"/>
      <c r="AO662" s="54"/>
    </row>
    <row r="663" customFormat="false" ht="11.25" hidden="false" customHeight="true" outlineLevel="0" collapsed="false">
      <c r="A663" s="83"/>
      <c r="B663" s="84"/>
      <c r="C663" s="85"/>
      <c r="D663" s="93"/>
      <c r="E663" s="85"/>
      <c r="F663" s="88"/>
      <c r="G663" s="89"/>
      <c r="H663" s="89"/>
      <c r="I663" s="89"/>
      <c r="J663" s="89"/>
      <c r="K663" s="90"/>
      <c r="L663" s="91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92"/>
      <c r="AD663" s="2"/>
      <c r="AE663" s="2"/>
      <c r="AF663" s="2"/>
      <c r="AG663" s="2"/>
      <c r="AH663" s="2"/>
      <c r="AI663" s="2"/>
      <c r="AJ663" s="2"/>
      <c r="AK663" s="2"/>
      <c r="AL663" s="54"/>
      <c r="AM663" s="54"/>
      <c r="AN663" s="54"/>
      <c r="AO663" s="54"/>
    </row>
    <row r="664" customFormat="false" ht="11.25" hidden="false" customHeight="true" outlineLevel="0" collapsed="false">
      <c r="A664" s="83"/>
      <c r="B664" s="84"/>
      <c r="C664" s="85"/>
      <c r="D664" s="93"/>
      <c r="E664" s="85"/>
      <c r="F664" s="88"/>
      <c r="G664" s="89"/>
      <c r="H664" s="89"/>
      <c r="I664" s="89"/>
      <c r="J664" s="89"/>
      <c r="K664" s="90"/>
      <c r="L664" s="91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92"/>
      <c r="AD664" s="2"/>
      <c r="AE664" s="2"/>
      <c r="AF664" s="2"/>
      <c r="AG664" s="2"/>
      <c r="AH664" s="2"/>
      <c r="AI664" s="2"/>
      <c r="AJ664" s="2"/>
      <c r="AK664" s="2"/>
      <c r="AL664" s="54"/>
      <c r="AM664" s="54"/>
      <c r="AN664" s="54"/>
      <c r="AO664" s="54"/>
    </row>
    <row r="665" customFormat="false" ht="11.25" hidden="false" customHeight="true" outlineLevel="0" collapsed="false">
      <c r="A665" s="83"/>
      <c r="B665" s="84"/>
      <c r="C665" s="85"/>
      <c r="D665" s="93"/>
      <c r="E665" s="85"/>
      <c r="F665" s="88"/>
      <c r="G665" s="89"/>
      <c r="H665" s="89"/>
      <c r="I665" s="89"/>
      <c r="J665" s="89"/>
      <c r="K665" s="90"/>
      <c r="L665" s="91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92"/>
      <c r="AD665" s="2"/>
      <c r="AE665" s="2"/>
      <c r="AF665" s="2"/>
      <c r="AG665" s="2"/>
      <c r="AH665" s="2"/>
      <c r="AI665" s="2"/>
      <c r="AJ665" s="2"/>
      <c r="AK665" s="2"/>
      <c r="AL665" s="54"/>
      <c r="AM665" s="54"/>
      <c r="AN665" s="54"/>
      <c r="AO665" s="54"/>
    </row>
    <row r="666" customFormat="false" ht="11.25" hidden="false" customHeight="true" outlineLevel="0" collapsed="false">
      <c r="A666" s="83"/>
      <c r="B666" s="84"/>
      <c r="C666" s="85"/>
      <c r="D666" s="93"/>
      <c r="E666" s="85"/>
      <c r="F666" s="88"/>
      <c r="G666" s="89"/>
      <c r="H666" s="89"/>
      <c r="I666" s="89"/>
      <c r="J666" s="89"/>
      <c r="K666" s="90"/>
      <c r="L666" s="91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92"/>
      <c r="AD666" s="2"/>
      <c r="AE666" s="2"/>
      <c r="AF666" s="2"/>
      <c r="AG666" s="2"/>
      <c r="AH666" s="2"/>
      <c r="AI666" s="2"/>
      <c r="AJ666" s="2"/>
      <c r="AK666" s="2"/>
      <c r="AL666" s="54"/>
      <c r="AM666" s="54"/>
      <c r="AN666" s="54"/>
      <c r="AO666" s="54"/>
    </row>
    <row r="667" customFormat="false" ht="11.25" hidden="false" customHeight="true" outlineLevel="0" collapsed="false">
      <c r="A667" s="83"/>
      <c r="B667" s="84"/>
      <c r="C667" s="85"/>
      <c r="D667" s="93"/>
      <c r="E667" s="85"/>
      <c r="F667" s="88"/>
      <c r="G667" s="89"/>
      <c r="H667" s="89"/>
      <c r="I667" s="89"/>
      <c r="J667" s="89"/>
      <c r="K667" s="90"/>
      <c r="L667" s="91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92"/>
      <c r="AD667" s="2"/>
      <c r="AE667" s="2"/>
      <c r="AF667" s="2"/>
      <c r="AG667" s="2"/>
      <c r="AH667" s="2"/>
      <c r="AI667" s="2"/>
      <c r="AJ667" s="2"/>
      <c r="AK667" s="2"/>
      <c r="AL667" s="54"/>
      <c r="AM667" s="54"/>
      <c r="AN667" s="54"/>
      <c r="AO667" s="54"/>
    </row>
    <row r="668" customFormat="false" ht="11.25" hidden="false" customHeight="true" outlineLevel="0" collapsed="false">
      <c r="A668" s="83"/>
      <c r="B668" s="84"/>
      <c r="C668" s="85"/>
      <c r="D668" s="93"/>
      <c r="E668" s="85"/>
      <c r="F668" s="88"/>
      <c r="G668" s="89"/>
      <c r="H668" s="89"/>
      <c r="I668" s="89"/>
      <c r="J668" s="89"/>
      <c r="K668" s="90"/>
      <c r="L668" s="91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92"/>
      <c r="AD668" s="2"/>
      <c r="AE668" s="2"/>
      <c r="AF668" s="2"/>
      <c r="AG668" s="2"/>
      <c r="AH668" s="2"/>
      <c r="AI668" s="2"/>
      <c r="AJ668" s="2"/>
      <c r="AK668" s="2"/>
      <c r="AL668" s="54"/>
      <c r="AM668" s="54"/>
      <c r="AN668" s="54"/>
      <c r="AO668" s="54"/>
    </row>
    <row r="669" customFormat="false" ht="11.25" hidden="false" customHeight="true" outlineLevel="0" collapsed="false">
      <c r="A669" s="83"/>
      <c r="B669" s="84"/>
      <c r="C669" s="85"/>
      <c r="D669" s="93"/>
      <c r="E669" s="85"/>
      <c r="F669" s="88"/>
      <c r="G669" s="89"/>
      <c r="H669" s="89"/>
      <c r="I669" s="89"/>
      <c r="J669" s="89"/>
      <c r="K669" s="90"/>
      <c r="L669" s="91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92"/>
      <c r="AD669" s="2"/>
      <c r="AE669" s="2"/>
      <c r="AF669" s="2"/>
      <c r="AG669" s="2"/>
      <c r="AH669" s="2"/>
      <c r="AI669" s="2"/>
      <c r="AJ669" s="2"/>
      <c r="AK669" s="2"/>
      <c r="AL669" s="54"/>
      <c r="AM669" s="54"/>
      <c r="AN669" s="54"/>
      <c r="AO669" s="54"/>
    </row>
    <row r="670" customFormat="false" ht="11.25" hidden="false" customHeight="true" outlineLevel="0" collapsed="false">
      <c r="A670" s="83"/>
      <c r="B670" s="84"/>
      <c r="C670" s="85"/>
      <c r="D670" s="93"/>
      <c r="E670" s="85"/>
      <c r="F670" s="88"/>
      <c r="G670" s="89"/>
      <c r="H670" s="89"/>
      <c r="I670" s="89"/>
      <c r="J670" s="89"/>
      <c r="K670" s="90"/>
      <c r="L670" s="91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92"/>
      <c r="AD670" s="2"/>
      <c r="AE670" s="2"/>
      <c r="AF670" s="2"/>
      <c r="AG670" s="2"/>
      <c r="AH670" s="2"/>
      <c r="AI670" s="2"/>
      <c r="AJ670" s="2"/>
      <c r="AK670" s="2"/>
      <c r="AL670" s="54"/>
      <c r="AM670" s="54"/>
      <c r="AN670" s="54"/>
      <c r="AO670" s="54"/>
    </row>
    <row r="671" customFormat="false" ht="11.25" hidden="false" customHeight="true" outlineLevel="0" collapsed="false">
      <c r="A671" s="83"/>
      <c r="B671" s="84"/>
      <c r="C671" s="85"/>
      <c r="D671" s="93"/>
      <c r="E671" s="85"/>
      <c r="F671" s="88"/>
      <c r="G671" s="89"/>
      <c r="H671" s="89"/>
      <c r="I671" s="89"/>
      <c r="J671" s="89"/>
      <c r="K671" s="90"/>
      <c r="L671" s="91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92"/>
      <c r="AD671" s="2"/>
      <c r="AE671" s="2"/>
      <c r="AF671" s="2"/>
      <c r="AG671" s="2"/>
      <c r="AH671" s="2"/>
      <c r="AI671" s="2"/>
      <c r="AJ671" s="2"/>
      <c r="AK671" s="2"/>
      <c r="AL671" s="54"/>
      <c r="AM671" s="54"/>
      <c r="AN671" s="54"/>
      <c r="AO671" s="54"/>
    </row>
    <row r="672" customFormat="false" ht="11.25" hidden="false" customHeight="true" outlineLevel="0" collapsed="false">
      <c r="A672" s="83"/>
      <c r="B672" s="84"/>
      <c r="C672" s="85"/>
      <c r="D672" s="93"/>
      <c r="E672" s="85"/>
      <c r="F672" s="88"/>
      <c r="G672" s="89"/>
      <c r="H672" s="89"/>
      <c r="I672" s="89"/>
      <c r="J672" s="89"/>
      <c r="K672" s="90"/>
      <c r="L672" s="91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92"/>
      <c r="AD672" s="2"/>
      <c r="AE672" s="2"/>
      <c r="AF672" s="2"/>
      <c r="AG672" s="2"/>
      <c r="AH672" s="2"/>
      <c r="AI672" s="2"/>
      <c r="AJ672" s="2"/>
      <c r="AK672" s="2"/>
      <c r="AL672" s="54"/>
      <c r="AM672" s="54"/>
      <c r="AN672" s="54"/>
      <c r="AO672" s="54"/>
    </row>
    <row r="673" customFormat="false" ht="11.25" hidden="false" customHeight="true" outlineLevel="0" collapsed="false">
      <c r="A673" s="83"/>
      <c r="B673" s="84"/>
      <c r="C673" s="85"/>
      <c r="D673" s="93"/>
      <c r="E673" s="85"/>
      <c r="F673" s="88"/>
      <c r="G673" s="89"/>
      <c r="H673" s="89"/>
      <c r="I673" s="89"/>
      <c r="J673" s="89"/>
      <c r="K673" s="90"/>
      <c r="L673" s="91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92"/>
      <c r="AD673" s="2"/>
      <c r="AE673" s="2"/>
      <c r="AF673" s="2"/>
      <c r="AG673" s="2"/>
      <c r="AH673" s="2"/>
      <c r="AI673" s="2"/>
      <c r="AJ673" s="2"/>
      <c r="AK673" s="2"/>
      <c r="AL673" s="54"/>
      <c r="AM673" s="54"/>
      <c r="AN673" s="54"/>
      <c r="AO673" s="54"/>
    </row>
    <row r="674" customFormat="false" ht="11.25" hidden="false" customHeight="true" outlineLevel="0" collapsed="false">
      <c r="A674" s="83"/>
      <c r="B674" s="84"/>
      <c r="C674" s="85"/>
      <c r="D674" s="93"/>
      <c r="E674" s="85"/>
      <c r="F674" s="88"/>
      <c r="G674" s="89"/>
      <c r="H674" s="89"/>
      <c r="I674" s="89"/>
      <c r="J674" s="89"/>
      <c r="K674" s="90"/>
      <c r="L674" s="91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92"/>
      <c r="AD674" s="2"/>
      <c r="AE674" s="2"/>
      <c r="AF674" s="2"/>
      <c r="AG674" s="2"/>
      <c r="AH674" s="2"/>
      <c r="AI674" s="2"/>
      <c r="AJ674" s="2"/>
      <c r="AK674" s="2"/>
      <c r="AL674" s="54"/>
      <c r="AM674" s="54"/>
      <c r="AN674" s="54"/>
      <c r="AO674" s="54"/>
    </row>
    <row r="675" customFormat="false" ht="11.25" hidden="false" customHeight="true" outlineLevel="0" collapsed="false">
      <c r="A675" s="83"/>
      <c r="B675" s="84"/>
      <c r="C675" s="85"/>
      <c r="D675" s="93"/>
      <c r="E675" s="85"/>
      <c r="F675" s="88"/>
      <c r="G675" s="89"/>
      <c r="H675" s="89"/>
      <c r="I675" s="89"/>
      <c r="J675" s="89"/>
      <c r="K675" s="90"/>
      <c r="L675" s="91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92"/>
      <c r="AD675" s="2"/>
      <c r="AE675" s="2"/>
      <c r="AF675" s="2"/>
      <c r="AG675" s="2"/>
      <c r="AH675" s="2"/>
      <c r="AI675" s="2"/>
      <c r="AJ675" s="2"/>
      <c r="AK675" s="2"/>
      <c r="AL675" s="54"/>
      <c r="AM675" s="54"/>
      <c r="AN675" s="54"/>
      <c r="AO675" s="54"/>
    </row>
    <row r="676" customFormat="false" ht="11.25" hidden="false" customHeight="true" outlineLevel="0" collapsed="false">
      <c r="A676" s="83"/>
      <c r="B676" s="84"/>
      <c r="C676" s="85"/>
      <c r="D676" s="93"/>
      <c r="E676" s="85"/>
      <c r="F676" s="88"/>
      <c r="G676" s="89"/>
      <c r="H676" s="89"/>
      <c r="I676" s="89"/>
      <c r="J676" s="89"/>
      <c r="K676" s="90"/>
      <c r="L676" s="91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92"/>
      <c r="AD676" s="2"/>
      <c r="AE676" s="2"/>
      <c r="AF676" s="2"/>
      <c r="AG676" s="2"/>
      <c r="AH676" s="2"/>
      <c r="AI676" s="2"/>
      <c r="AJ676" s="2"/>
      <c r="AK676" s="2"/>
      <c r="AL676" s="54"/>
      <c r="AM676" s="54"/>
      <c r="AN676" s="54"/>
      <c r="AO676" s="54"/>
    </row>
    <row r="677" customFormat="false" ht="11.25" hidden="false" customHeight="true" outlineLevel="0" collapsed="false">
      <c r="A677" s="83"/>
      <c r="B677" s="84"/>
      <c r="C677" s="85"/>
      <c r="D677" s="93"/>
      <c r="E677" s="85"/>
      <c r="F677" s="88"/>
      <c r="G677" s="89"/>
      <c r="H677" s="89"/>
      <c r="I677" s="89"/>
      <c r="J677" s="89"/>
      <c r="K677" s="90"/>
      <c r="L677" s="91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92"/>
      <c r="AD677" s="2"/>
      <c r="AE677" s="2"/>
      <c r="AF677" s="2"/>
      <c r="AG677" s="2"/>
      <c r="AH677" s="2"/>
      <c r="AI677" s="2"/>
      <c r="AJ677" s="2"/>
      <c r="AK677" s="2"/>
      <c r="AL677" s="54"/>
      <c r="AM677" s="54"/>
      <c r="AN677" s="54"/>
      <c r="AO677" s="54"/>
    </row>
    <row r="678" customFormat="false" ht="11.25" hidden="false" customHeight="true" outlineLevel="0" collapsed="false">
      <c r="A678" s="83"/>
      <c r="B678" s="84"/>
      <c r="C678" s="85"/>
      <c r="D678" s="93"/>
      <c r="E678" s="85"/>
      <c r="F678" s="88"/>
      <c r="G678" s="89"/>
      <c r="H678" s="89"/>
      <c r="I678" s="89"/>
      <c r="J678" s="89"/>
      <c r="K678" s="90"/>
      <c r="L678" s="91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92"/>
      <c r="AD678" s="2"/>
      <c r="AE678" s="2"/>
      <c r="AF678" s="2"/>
      <c r="AG678" s="2"/>
      <c r="AH678" s="2"/>
      <c r="AI678" s="2"/>
      <c r="AJ678" s="2"/>
      <c r="AK678" s="2"/>
      <c r="AL678" s="54"/>
      <c r="AM678" s="54"/>
      <c r="AN678" s="54"/>
      <c r="AO678" s="54"/>
    </row>
    <row r="679" customFormat="false" ht="11.25" hidden="false" customHeight="true" outlineLevel="0" collapsed="false">
      <c r="A679" s="83"/>
      <c r="B679" s="84"/>
      <c r="C679" s="85"/>
      <c r="D679" s="93"/>
      <c r="E679" s="85"/>
      <c r="F679" s="88"/>
      <c r="G679" s="89"/>
      <c r="H679" s="89"/>
      <c r="I679" s="89"/>
      <c r="J679" s="89"/>
      <c r="K679" s="90"/>
      <c r="L679" s="91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92"/>
      <c r="AD679" s="2"/>
      <c r="AE679" s="2"/>
      <c r="AF679" s="2"/>
      <c r="AG679" s="2"/>
      <c r="AH679" s="2"/>
      <c r="AI679" s="2"/>
      <c r="AJ679" s="2"/>
      <c r="AK679" s="2"/>
      <c r="AL679" s="54"/>
      <c r="AM679" s="54"/>
      <c r="AN679" s="54"/>
      <c r="AO679" s="54"/>
    </row>
    <row r="680" customFormat="false" ht="11.25" hidden="false" customHeight="true" outlineLevel="0" collapsed="false">
      <c r="A680" s="83"/>
      <c r="B680" s="84"/>
      <c r="C680" s="85"/>
      <c r="D680" s="93"/>
      <c r="E680" s="85"/>
      <c r="F680" s="88"/>
      <c r="G680" s="89"/>
      <c r="H680" s="89"/>
      <c r="I680" s="89"/>
      <c r="J680" s="89"/>
      <c r="K680" s="90"/>
      <c r="L680" s="91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92"/>
      <c r="AD680" s="2"/>
      <c r="AE680" s="2"/>
      <c r="AF680" s="2"/>
      <c r="AG680" s="2"/>
      <c r="AH680" s="2"/>
      <c r="AI680" s="2"/>
      <c r="AJ680" s="2"/>
      <c r="AK680" s="2"/>
      <c r="AL680" s="54"/>
      <c r="AM680" s="54"/>
      <c r="AN680" s="54"/>
      <c r="AO680" s="54"/>
    </row>
    <row r="681" customFormat="false" ht="11.25" hidden="false" customHeight="true" outlineLevel="0" collapsed="false">
      <c r="A681" s="83"/>
      <c r="B681" s="84"/>
      <c r="C681" s="85"/>
      <c r="D681" s="93"/>
      <c r="E681" s="85"/>
      <c r="F681" s="88"/>
      <c r="G681" s="89"/>
      <c r="H681" s="89"/>
      <c r="I681" s="89"/>
      <c r="J681" s="89"/>
      <c r="K681" s="90"/>
      <c r="L681" s="91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92"/>
      <c r="AD681" s="2"/>
      <c r="AE681" s="2"/>
      <c r="AF681" s="2"/>
      <c r="AG681" s="2"/>
      <c r="AH681" s="2"/>
      <c r="AI681" s="2"/>
      <c r="AJ681" s="2"/>
      <c r="AK681" s="2"/>
      <c r="AL681" s="54"/>
      <c r="AM681" s="54"/>
      <c r="AN681" s="54"/>
      <c r="AO681" s="54"/>
    </row>
    <row r="682" customFormat="false" ht="11.25" hidden="false" customHeight="true" outlineLevel="0" collapsed="false">
      <c r="A682" s="83"/>
      <c r="B682" s="84"/>
      <c r="C682" s="85"/>
      <c r="D682" s="93"/>
      <c r="E682" s="85"/>
      <c r="F682" s="88"/>
      <c r="G682" s="89"/>
      <c r="H682" s="89"/>
      <c r="I682" s="89"/>
      <c r="J682" s="89"/>
      <c r="K682" s="90"/>
      <c r="L682" s="91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92"/>
      <c r="AD682" s="2"/>
      <c r="AE682" s="2"/>
      <c r="AF682" s="2"/>
      <c r="AG682" s="2"/>
      <c r="AH682" s="2"/>
      <c r="AI682" s="2"/>
      <c r="AJ682" s="2"/>
      <c r="AK682" s="2"/>
      <c r="AL682" s="54"/>
      <c r="AM682" s="54"/>
      <c r="AN682" s="54"/>
      <c r="AO682" s="54"/>
    </row>
    <row r="683" customFormat="false" ht="11.25" hidden="false" customHeight="true" outlineLevel="0" collapsed="false">
      <c r="A683" s="83"/>
      <c r="B683" s="84"/>
      <c r="C683" s="85"/>
      <c r="D683" s="93"/>
      <c r="E683" s="85"/>
      <c r="F683" s="88"/>
      <c r="G683" s="89"/>
      <c r="H683" s="89"/>
      <c r="I683" s="89"/>
      <c r="J683" s="89"/>
      <c r="K683" s="90"/>
      <c r="L683" s="91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92"/>
      <c r="AD683" s="2"/>
      <c r="AE683" s="2"/>
      <c r="AF683" s="2"/>
      <c r="AG683" s="2"/>
      <c r="AH683" s="2"/>
      <c r="AI683" s="2"/>
      <c r="AJ683" s="2"/>
      <c r="AK683" s="2"/>
      <c r="AL683" s="54"/>
      <c r="AM683" s="54"/>
      <c r="AN683" s="54"/>
      <c r="AO683" s="54"/>
    </row>
    <row r="684" customFormat="false" ht="11.25" hidden="false" customHeight="true" outlineLevel="0" collapsed="false">
      <c r="A684" s="83"/>
      <c r="B684" s="84"/>
      <c r="C684" s="85"/>
      <c r="D684" s="93"/>
      <c r="E684" s="85"/>
      <c r="F684" s="88"/>
      <c r="G684" s="89"/>
      <c r="H684" s="89"/>
      <c r="I684" s="89"/>
      <c r="J684" s="89"/>
      <c r="K684" s="90"/>
      <c r="L684" s="91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92"/>
      <c r="AD684" s="2"/>
      <c r="AE684" s="2"/>
      <c r="AF684" s="2"/>
      <c r="AG684" s="2"/>
      <c r="AH684" s="2"/>
      <c r="AI684" s="2"/>
      <c r="AJ684" s="2"/>
      <c r="AK684" s="2"/>
      <c r="AL684" s="54"/>
      <c r="AM684" s="54"/>
      <c r="AN684" s="54"/>
      <c r="AO684" s="54"/>
    </row>
    <row r="685" customFormat="false" ht="11.25" hidden="false" customHeight="true" outlineLevel="0" collapsed="false">
      <c r="A685" s="83"/>
      <c r="B685" s="84"/>
      <c r="C685" s="85"/>
      <c r="D685" s="93"/>
      <c r="E685" s="85"/>
      <c r="F685" s="88"/>
      <c r="G685" s="89"/>
      <c r="H685" s="89"/>
      <c r="I685" s="89"/>
      <c r="J685" s="89"/>
      <c r="K685" s="90"/>
      <c r="L685" s="91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92"/>
      <c r="AD685" s="2"/>
      <c r="AE685" s="2"/>
      <c r="AF685" s="2"/>
      <c r="AG685" s="2"/>
      <c r="AH685" s="2"/>
      <c r="AI685" s="2"/>
      <c r="AJ685" s="2"/>
      <c r="AK685" s="2"/>
      <c r="AL685" s="54"/>
      <c r="AM685" s="54"/>
      <c r="AN685" s="54"/>
      <c r="AO685" s="54"/>
    </row>
    <row r="686" customFormat="false" ht="11.25" hidden="false" customHeight="true" outlineLevel="0" collapsed="false">
      <c r="A686" s="83"/>
      <c r="B686" s="84"/>
      <c r="C686" s="85"/>
      <c r="D686" s="93"/>
      <c r="E686" s="85"/>
      <c r="F686" s="88"/>
      <c r="G686" s="89"/>
      <c r="H686" s="89"/>
      <c r="I686" s="89"/>
      <c r="J686" s="89"/>
      <c r="K686" s="90"/>
      <c r="L686" s="91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92"/>
      <c r="AD686" s="2"/>
      <c r="AE686" s="2"/>
      <c r="AF686" s="2"/>
      <c r="AG686" s="2"/>
      <c r="AH686" s="2"/>
      <c r="AI686" s="2"/>
      <c r="AJ686" s="2"/>
      <c r="AK686" s="2"/>
      <c r="AL686" s="54"/>
      <c r="AM686" s="54"/>
      <c r="AN686" s="54"/>
      <c r="AO686" s="54"/>
    </row>
    <row r="687" customFormat="false" ht="11.25" hidden="false" customHeight="true" outlineLevel="0" collapsed="false">
      <c r="A687" s="83"/>
      <c r="B687" s="84"/>
      <c r="C687" s="85"/>
      <c r="D687" s="93"/>
      <c r="E687" s="85"/>
      <c r="F687" s="88"/>
      <c r="G687" s="89"/>
      <c r="H687" s="89"/>
      <c r="I687" s="89"/>
      <c r="J687" s="89"/>
      <c r="K687" s="90"/>
      <c r="L687" s="91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92"/>
      <c r="AD687" s="2"/>
      <c r="AE687" s="2"/>
      <c r="AF687" s="2"/>
      <c r="AG687" s="2"/>
      <c r="AH687" s="2"/>
      <c r="AI687" s="2"/>
      <c r="AJ687" s="2"/>
      <c r="AK687" s="2"/>
      <c r="AL687" s="54"/>
      <c r="AM687" s="54"/>
      <c r="AN687" s="54"/>
      <c r="AO687" s="54"/>
    </row>
    <row r="688" customFormat="false" ht="11.25" hidden="false" customHeight="true" outlineLevel="0" collapsed="false">
      <c r="A688" s="83"/>
      <c r="B688" s="84"/>
      <c r="C688" s="85"/>
      <c r="D688" s="93"/>
      <c r="E688" s="85"/>
      <c r="F688" s="88"/>
      <c r="G688" s="89"/>
      <c r="H688" s="89"/>
      <c r="I688" s="89"/>
      <c r="J688" s="89"/>
      <c r="K688" s="90"/>
      <c r="L688" s="91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92"/>
      <c r="AD688" s="2"/>
      <c r="AE688" s="2"/>
      <c r="AF688" s="2"/>
      <c r="AG688" s="2"/>
      <c r="AH688" s="2"/>
      <c r="AI688" s="2"/>
      <c r="AJ688" s="2"/>
      <c r="AK688" s="2"/>
      <c r="AL688" s="54"/>
      <c r="AM688" s="54"/>
      <c r="AN688" s="54"/>
      <c r="AO688" s="54"/>
    </row>
    <row r="689" customFormat="false" ht="11.25" hidden="false" customHeight="true" outlineLevel="0" collapsed="false">
      <c r="A689" s="83"/>
      <c r="B689" s="84"/>
      <c r="C689" s="85"/>
      <c r="D689" s="93"/>
      <c r="E689" s="85"/>
      <c r="F689" s="88"/>
      <c r="G689" s="89"/>
      <c r="H689" s="89"/>
      <c r="I689" s="89"/>
      <c r="J689" s="89"/>
      <c r="K689" s="90"/>
      <c r="L689" s="91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92"/>
      <c r="AD689" s="2"/>
      <c r="AE689" s="2"/>
      <c r="AF689" s="2"/>
      <c r="AG689" s="2"/>
      <c r="AH689" s="2"/>
      <c r="AI689" s="2"/>
      <c r="AJ689" s="2"/>
      <c r="AK689" s="2"/>
      <c r="AL689" s="54"/>
      <c r="AM689" s="54"/>
      <c r="AN689" s="54"/>
      <c r="AO689" s="54"/>
    </row>
    <row r="690" customFormat="false" ht="11.25" hidden="false" customHeight="true" outlineLevel="0" collapsed="false">
      <c r="A690" s="83"/>
      <c r="B690" s="84"/>
      <c r="C690" s="85"/>
      <c r="D690" s="93"/>
      <c r="E690" s="85"/>
      <c r="F690" s="88"/>
      <c r="G690" s="89"/>
      <c r="H690" s="89"/>
      <c r="I690" s="89"/>
      <c r="J690" s="89"/>
      <c r="K690" s="90"/>
      <c r="L690" s="91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92"/>
      <c r="AD690" s="2"/>
      <c r="AE690" s="2"/>
      <c r="AF690" s="2"/>
      <c r="AG690" s="2"/>
      <c r="AH690" s="2"/>
      <c r="AI690" s="2"/>
      <c r="AJ690" s="2"/>
      <c r="AK690" s="2"/>
      <c r="AL690" s="54"/>
      <c r="AM690" s="54"/>
      <c r="AN690" s="54"/>
      <c r="AO690" s="54"/>
    </row>
    <row r="691" customFormat="false" ht="11.25" hidden="false" customHeight="true" outlineLevel="0" collapsed="false">
      <c r="A691" s="83"/>
      <c r="B691" s="84"/>
      <c r="C691" s="85"/>
      <c r="D691" s="93"/>
      <c r="E691" s="85"/>
      <c r="F691" s="88"/>
      <c r="G691" s="89"/>
      <c r="H691" s="89"/>
      <c r="I691" s="89"/>
      <c r="J691" s="89"/>
      <c r="K691" s="90"/>
      <c r="L691" s="91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92"/>
      <c r="AD691" s="2"/>
      <c r="AE691" s="2"/>
      <c r="AF691" s="2"/>
      <c r="AG691" s="2"/>
      <c r="AH691" s="2"/>
      <c r="AI691" s="2"/>
      <c r="AJ691" s="2"/>
      <c r="AK691" s="2"/>
      <c r="AL691" s="54"/>
      <c r="AM691" s="54"/>
      <c r="AN691" s="54"/>
      <c r="AO691" s="54"/>
    </row>
    <row r="692" customFormat="false" ht="11.25" hidden="false" customHeight="true" outlineLevel="0" collapsed="false">
      <c r="A692" s="83"/>
      <c r="B692" s="84"/>
      <c r="C692" s="85"/>
      <c r="D692" s="93"/>
      <c r="E692" s="85"/>
      <c r="F692" s="88"/>
      <c r="G692" s="89"/>
      <c r="H692" s="89"/>
      <c r="I692" s="89"/>
      <c r="J692" s="89"/>
      <c r="K692" s="90"/>
      <c r="L692" s="91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92"/>
      <c r="AD692" s="2"/>
      <c r="AE692" s="2"/>
      <c r="AF692" s="2"/>
      <c r="AG692" s="2"/>
      <c r="AH692" s="2"/>
      <c r="AI692" s="2"/>
      <c r="AJ692" s="2"/>
      <c r="AK692" s="2"/>
      <c r="AL692" s="54"/>
      <c r="AM692" s="54"/>
      <c r="AN692" s="54"/>
      <c r="AO692" s="54"/>
    </row>
    <row r="693" customFormat="false" ht="11.25" hidden="false" customHeight="true" outlineLevel="0" collapsed="false">
      <c r="A693" s="83"/>
      <c r="B693" s="84"/>
      <c r="C693" s="85"/>
      <c r="D693" s="93"/>
      <c r="E693" s="85"/>
      <c r="F693" s="88"/>
      <c r="G693" s="89"/>
      <c r="H693" s="89"/>
      <c r="I693" s="89"/>
      <c r="J693" s="89"/>
      <c r="K693" s="90"/>
      <c r="L693" s="91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92"/>
      <c r="AD693" s="2"/>
      <c r="AE693" s="2"/>
      <c r="AF693" s="2"/>
      <c r="AG693" s="2"/>
      <c r="AH693" s="2"/>
      <c r="AI693" s="2"/>
      <c r="AJ693" s="2"/>
      <c r="AK693" s="2"/>
      <c r="AL693" s="54"/>
      <c r="AM693" s="54"/>
      <c r="AN693" s="54"/>
      <c r="AO693" s="54"/>
    </row>
    <row r="694" customFormat="false" ht="11.25" hidden="false" customHeight="true" outlineLevel="0" collapsed="false">
      <c r="A694" s="83"/>
      <c r="B694" s="84"/>
      <c r="C694" s="85"/>
      <c r="D694" s="93"/>
      <c r="E694" s="85"/>
      <c r="F694" s="88"/>
      <c r="G694" s="89"/>
      <c r="H694" s="89"/>
      <c r="I694" s="89"/>
      <c r="J694" s="89"/>
      <c r="K694" s="90"/>
      <c r="L694" s="91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92"/>
      <c r="AD694" s="2"/>
      <c r="AE694" s="2"/>
      <c r="AF694" s="2"/>
      <c r="AG694" s="2"/>
      <c r="AH694" s="2"/>
      <c r="AI694" s="2"/>
      <c r="AJ694" s="2"/>
      <c r="AK694" s="2"/>
      <c r="AL694" s="54"/>
      <c r="AM694" s="54"/>
      <c r="AN694" s="54"/>
      <c r="AO694" s="54"/>
    </row>
    <row r="695" customFormat="false" ht="11.25" hidden="false" customHeight="true" outlineLevel="0" collapsed="false">
      <c r="A695" s="83"/>
      <c r="B695" s="84"/>
      <c r="C695" s="85"/>
      <c r="D695" s="93"/>
      <c r="E695" s="85"/>
      <c r="F695" s="88"/>
      <c r="G695" s="89"/>
      <c r="H695" s="89"/>
      <c r="I695" s="89"/>
      <c r="J695" s="89"/>
      <c r="K695" s="90"/>
      <c r="L695" s="91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92"/>
      <c r="AD695" s="2"/>
      <c r="AE695" s="2"/>
      <c r="AF695" s="2"/>
      <c r="AG695" s="2"/>
      <c r="AH695" s="2"/>
      <c r="AI695" s="2"/>
      <c r="AJ695" s="2"/>
      <c r="AK695" s="2"/>
      <c r="AL695" s="54"/>
      <c r="AM695" s="54"/>
      <c r="AN695" s="54"/>
      <c r="AO695" s="54"/>
    </row>
    <row r="696" customFormat="false" ht="11.25" hidden="false" customHeight="true" outlineLevel="0" collapsed="false">
      <c r="A696" s="83"/>
      <c r="B696" s="84"/>
      <c r="C696" s="85"/>
      <c r="D696" s="93"/>
      <c r="E696" s="85"/>
      <c r="F696" s="88"/>
      <c r="G696" s="89"/>
      <c r="H696" s="89"/>
      <c r="I696" s="89"/>
      <c r="J696" s="89"/>
      <c r="K696" s="90"/>
      <c r="L696" s="91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92"/>
      <c r="AD696" s="2"/>
      <c r="AE696" s="2"/>
      <c r="AF696" s="2"/>
      <c r="AG696" s="2"/>
      <c r="AH696" s="2"/>
      <c r="AI696" s="2"/>
      <c r="AJ696" s="2"/>
      <c r="AK696" s="2"/>
      <c r="AL696" s="54"/>
      <c r="AM696" s="54"/>
      <c r="AN696" s="54"/>
      <c r="AO696" s="54"/>
    </row>
    <row r="697" customFormat="false" ht="11.25" hidden="false" customHeight="true" outlineLevel="0" collapsed="false">
      <c r="A697" s="83"/>
      <c r="B697" s="84"/>
      <c r="C697" s="85"/>
      <c r="D697" s="93"/>
      <c r="E697" s="85"/>
      <c r="F697" s="88"/>
      <c r="G697" s="89"/>
      <c r="H697" s="89"/>
      <c r="I697" s="89"/>
      <c r="J697" s="89"/>
      <c r="K697" s="90"/>
      <c r="L697" s="91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92"/>
      <c r="AD697" s="2"/>
      <c r="AE697" s="2"/>
      <c r="AF697" s="2"/>
      <c r="AG697" s="2"/>
      <c r="AH697" s="2"/>
      <c r="AI697" s="2"/>
      <c r="AJ697" s="2"/>
      <c r="AK697" s="2"/>
      <c r="AL697" s="54"/>
      <c r="AM697" s="54"/>
      <c r="AN697" s="54"/>
      <c r="AO697" s="54"/>
    </row>
    <row r="698" customFormat="false" ht="11.25" hidden="false" customHeight="true" outlineLevel="0" collapsed="false">
      <c r="A698" s="83"/>
      <c r="B698" s="84"/>
      <c r="C698" s="85"/>
      <c r="D698" s="93"/>
      <c r="E698" s="85"/>
      <c r="F698" s="88"/>
      <c r="G698" s="89"/>
      <c r="H698" s="89"/>
      <c r="I698" s="89"/>
      <c r="J698" s="89"/>
      <c r="K698" s="90"/>
      <c r="L698" s="91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92"/>
      <c r="AD698" s="2"/>
      <c r="AE698" s="2"/>
      <c r="AF698" s="2"/>
      <c r="AG698" s="2"/>
      <c r="AH698" s="2"/>
      <c r="AI698" s="2"/>
      <c r="AJ698" s="2"/>
      <c r="AK698" s="2"/>
      <c r="AL698" s="54"/>
      <c r="AM698" s="54"/>
      <c r="AN698" s="54"/>
      <c r="AO698" s="54"/>
    </row>
    <row r="699" customFormat="false" ht="11.25" hidden="false" customHeight="true" outlineLevel="0" collapsed="false">
      <c r="A699" s="83"/>
      <c r="B699" s="84"/>
      <c r="C699" s="85"/>
      <c r="D699" s="93"/>
      <c r="E699" s="85"/>
      <c r="F699" s="88"/>
      <c r="G699" s="89"/>
      <c r="H699" s="89"/>
      <c r="I699" s="89"/>
      <c r="J699" s="89"/>
      <c r="K699" s="90"/>
      <c r="L699" s="91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92"/>
      <c r="AD699" s="2"/>
      <c r="AE699" s="2"/>
      <c r="AF699" s="2"/>
      <c r="AG699" s="2"/>
      <c r="AH699" s="2"/>
      <c r="AI699" s="2"/>
      <c r="AJ699" s="2"/>
      <c r="AK699" s="2"/>
      <c r="AL699" s="54"/>
      <c r="AM699" s="54"/>
      <c r="AN699" s="54"/>
      <c r="AO699" s="54"/>
    </row>
    <row r="700" customFormat="false" ht="11.25" hidden="false" customHeight="true" outlineLevel="0" collapsed="false">
      <c r="A700" s="83"/>
      <c r="B700" s="84"/>
      <c r="C700" s="85"/>
      <c r="D700" s="93"/>
      <c r="E700" s="85"/>
      <c r="F700" s="88"/>
      <c r="G700" s="89"/>
      <c r="H700" s="89"/>
      <c r="I700" s="89"/>
      <c r="J700" s="89"/>
      <c r="K700" s="90"/>
      <c r="L700" s="91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92"/>
      <c r="AD700" s="2"/>
      <c r="AE700" s="2"/>
      <c r="AF700" s="2"/>
      <c r="AG700" s="2"/>
      <c r="AH700" s="2"/>
      <c r="AI700" s="2"/>
      <c r="AJ700" s="2"/>
      <c r="AK700" s="2"/>
      <c r="AL700" s="54"/>
      <c r="AM700" s="54"/>
      <c r="AN700" s="54"/>
      <c r="AO700" s="54"/>
    </row>
    <row r="701" customFormat="false" ht="11.25" hidden="false" customHeight="true" outlineLevel="0" collapsed="false">
      <c r="A701" s="83"/>
      <c r="B701" s="84"/>
      <c r="C701" s="85"/>
      <c r="D701" s="93"/>
      <c r="E701" s="85"/>
      <c r="F701" s="88"/>
      <c r="G701" s="89"/>
      <c r="H701" s="89"/>
      <c r="I701" s="89"/>
      <c r="J701" s="89"/>
      <c r="K701" s="90"/>
      <c r="L701" s="91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92"/>
      <c r="AD701" s="2"/>
      <c r="AE701" s="2"/>
      <c r="AF701" s="2"/>
      <c r="AG701" s="2"/>
      <c r="AH701" s="2"/>
      <c r="AI701" s="2"/>
      <c r="AJ701" s="2"/>
      <c r="AK701" s="2"/>
      <c r="AL701" s="54"/>
      <c r="AM701" s="54"/>
      <c r="AN701" s="54"/>
      <c r="AO701" s="54"/>
    </row>
    <row r="702" customFormat="false" ht="11.25" hidden="false" customHeight="true" outlineLevel="0" collapsed="false">
      <c r="A702" s="83"/>
      <c r="B702" s="84"/>
      <c r="C702" s="85"/>
      <c r="D702" s="93"/>
      <c r="E702" s="85"/>
      <c r="F702" s="88"/>
      <c r="G702" s="89"/>
      <c r="H702" s="89"/>
      <c r="I702" s="89"/>
      <c r="J702" s="89"/>
      <c r="K702" s="90"/>
      <c r="L702" s="91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92"/>
      <c r="AD702" s="2"/>
      <c r="AE702" s="2"/>
      <c r="AF702" s="2"/>
      <c r="AG702" s="2"/>
      <c r="AH702" s="2"/>
      <c r="AI702" s="2"/>
      <c r="AJ702" s="2"/>
      <c r="AK702" s="2"/>
      <c r="AL702" s="54"/>
      <c r="AM702" s="54"/>
      <c r="AN702" s="54"/>
      <c r="AO702" s="54"/>
    </row>
    <row r="703" customFormat="false" ht="11.25" hidden="false" customHeight="true" outlineLevel="0" collapsed="false">
      <c r="A703" s="83"/>
      <c r="B703" s="84"/>
      <c r="C703" s="85"/>
      <c r="D703" s="93"/>
      <c r="E703" s="85"/>
      <c r="F703" s="88"/>
      <c r="G703" s="89"/>
      <c r="H703" s="89"/>
      <c r="I703" s="89"/>
      <c r="J703" s="89"/>
      <c r="K703" s="90"/>
      <c r="L703" s="91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92"/>
      <c r="AD703" s="2"/>
      <c r="AE703" s="2"/>
      <c r="AF703" s="2"/>
      <c r="AG703" s="2"/>
      <c r="AH703" s="2"/>
      <c r="AI703" s="2"/>
      <c r="AJ703" s="2"/>
      <c r="AK703" s="2"/>
      <c r="AL703" s="54"/>
      <c r="AM703" s="54"/>
      <c r="AN703" s="54"/>
      <c r="AO703" s="54"/>
    </row>
    <row r="704" customFormat="false" ht="11.25" hidden="false" customHeight="true" outlineLevel="0" collapsed="false">
      <c r="A704" s="83"/>
      <c r="B704" s="84"/>
      <c r="C704" s="85"/>
      <c r="D704" s="93"/>
      <c r="E704" s="85"/>
      <c r="F704" s="88"/>
      <c r="G704" s="89"/>
      <c r="H704" s="89"/>
      <c r="I704" s="89"/>
      <c r="J704" s="89"/>
      <c r="K704" s="90"/>
      <c r="L704" s="91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92"/>
      <c r="AD704" s="2"/>
      <c r="AE704" s="2"/>
      <c r="AF704" s="2"/>
      <c r="AG704" s="2"/>
      <c r="AH704" s="2"/>
      <c r="AI704" s="2"/>
      <c r="AJ704" s="2"/>
      <c r="AK704" s="2"/>
      <c r="AL704" s="54"/>
      <c r="AM704" s="54"/>
      <c r="AN704" s="54"/>
      <c r="AO704" s="54"/>
    </row>
    <row r="705" customFormat="false" ht="11.25" hidden="false" customHeight="true" outlineLevel="0" collapsed="false">
      <c r="A705" s="83"/>
      <c r="B705" s="84"/>
      <c r="C705" s="85"/>
      <c r="D705" s="93"/>
      <c r="E705" s="85"/>
      <c r="F705" s="88"/>
      <c r="G705" s="89"/>
      <c r="H705" s="89"/>
      <c r="I705" s="89"/>
      <c r="J705" s="89"/>
      <c r="K705" s="90"/>
      <c r="L705" s="91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92"/>
      <c r="AD705" s="2"/>
      <c r="AE705" s="2"/>
      <c r="AF705" s="2"/>
      <c r="AG705" s="2"/>
      <c r="AH705" s="2"/>
      <c r="AI705" s="2"/>
      <c r="AJ705" s="2"/>
      <c r="AK705" s="2"/>
      <c r="AL705" s="54"/>
      <c r="AM705" s="54"/>
      <c r="AN705" s="54"/>
      <c r="AO705" s="54"/>
    </row>
    <row r="706" customFormat="false" ht="11.25" hidden="false" customHeight="true" outlineLevel="0" collapsed="false">
      <c r="A706" s="83"/>
      <c r="B706" s="84"/>
      <c r="C706" s="85"/>
      <c r="D706" s="93"/>
      <c r="E706" s="85"/>
      <c r="F706" s="88"/>
      <c r="G706" s="89"/>
      <c r="H706" s="89"/>
      <c r="I706" s="89"/>
      <c r="J706" s="89"/>
      <c r="K706" s="90"/>
      <c r="L706" s="91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92"/>
      <c r="AD706" s="2"/>
      <c r="AE706" s="2"/>
      <c r="AF706" s="2"/>
      <c r="AG706" s="2"/>
      <c r="AH706" s="2"/>
      <c r="AI706" s="2"/>
      <c r="AJ706" s="2"/>
      <c r="AK706" s="2"/>
      <c r="AL706" s="54"/>
      <c r="AM706" s="54"/>
      <c r="AN706" s="54"/>
      <c r="AO706" s="54"/>
    </row>
    <row r="707" customFormat="false" ht="11.25" hidden="false" customHeight="true" outlineLevel="0" collapsed="false">
      <c r="A707" s="83"/>
      <c r="B707" s="84"/>
      <c r="C707" s="85"/>
      <c r="D707" s="93"/>
      <c r="E707" s="85"/>
      <c r="F707" s="88"/>
      <c r="G707" s="89"/>
      <c r="H707" s="89"/>
      <c r="I707" s="89"/>
      <c r="J707" s="89"/>
      <c r="K707" s="90"/>
      <c r="L707" s="91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92"/>
      <c r="AD707" s="2"/>
      <c r="AE707" s="2"/>
      <c r="AF707" s="2"/>
      <c r="AG707" s="2"/>
      <c r="AH707" s="2"/>
      <c r="AI707" s="2"/>
      <c r="AJ707" s="2"/>
      <c r="AK707" s="2"/>
      <c r="AL707" s="54"/>
      <c r="AM707" s="54"/>
      <c r="AN707" s="54"/>
      <c r="AO707" s="54"/>
    </row>
    <row r="708" customFormat="false" ht="11.25" hidden="false" customHeight="true" outlineLevel="0" collapsed="false">
      <c r="A708" s="83"/>
      <c r="B708" s="84"/>
      <c r="C708" s="85"/>
      <c r="D708" s="93"/>
      <c r="E708" s="85"/>
      <c r="F708" s="88"/>
      <c r="G708" s="89"/>
      <c r="H708" s="89"/>
      <c r="I708" s="89"/>
      <c r="J708" s="89"/>
      <c r="K708" s="90"/>
      <c r="L708" s="91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92"/>
      <c r="AD708" s="2"/>
      <c r="AE708" s="2"/>
      <c r="AF708" s="2"/>
      <c r="AG708" s="2"/>
      <c r="AH708" s="2"/>
      <c r="AI708" s="2"/>
      <c r="AJ708" s="2"/>
      <c r="AK708" s="2"/>
      <c r="AL708" s="54"/>
      <c r="AM708" s="54"/>
      <c r="AN708" s="54"/>
      <c r="AO708" s="54"/>
    </row>
    <row r="709" customFormat="false" ht="11.25" hidden="false" customHeight="true" outlineLevel="0" collapsed="false">
      <c r="A709" s="83"/>
      <c r="B709" s="84"/>
      <c r="C709" s="85"/>
      <c r="D709" s="93"/>
      <c r="E709" s="85"/>
      <c r="F709" s="88"/>
      <c r="G709" s="89"/>
      <c r="H709" s="89"/>
      <c r="I709" s="89"/>
      <c r="J709" s="89"/>
      <c r="K709" s="90"/>
      <c r="L709" s="91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92"/>
      <c r="AD709" s="2"/>
      <c r="AE709" s="2"/>
      <c r="AF709" s="2"/>
      <c r="AG709" s="2"/>
      <c r="AH709" s="2"/>
      <c r="AI709" s="2"/>
      <c r="AJ709" s="2"/>
      <c r="AK709" s="2"/>
      <c r="AL709" s="54"/>
      <c r="AM709" s="54"/>
      <c r="AN709" s="54"/>
      <c r="AO709" s="54"/>
    </row>
    <row r="710" customFormat="false" ht="11.25" hidden="false" customHeight="true" outlineLevel="0" collapsed="false">
      <c r="A710" s="83"/>
      <c r="B710" s="84"/>
      <c r="C710" s="85"/>
      <c r="D710" s="93"/>
      <c r="E710" s="85"/>
      <c r="F710" s="88"/>
      <c r="G710" s="89"/>
      <c r="H710" s="89"/>
      <c r="I710" s="89"/>
      <c r="J710" s="89"/>
      <c r="K710" s="90"/>
      <c r="L710" s="91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92"/>
      <c r="AD710" s="2"/>
      <c r="AE710" s="2"/>
      <c r="AF710" s="2"/>
      <c r="AG710" s="2"/>
      <c r="AH710" s="2"/>
      <c r="AI710" s="2"/>
      <c r="AJ710" s="2"/>
      <c r="AK710" s="2"/>
      <c r="AL710" s="54"/>
      <c r="AM710" s="54"/>
      <c r="AN710" s="54"/>
      <c r="AO710" s="54"/>
    </row>
    <row r="711" customFormat="false" ht="11.25" hidden="false" customHeight="true" outlineLevel="0" collapsed="false">
      <c r="A711" s="83"/>
      <c r="B711" s="84"/>
      <c r="C711" s="85"/>
      <c r="D711" s="93"/>
      <c r="E711" s="85"/>
      <c r="F711" s="88"/>
      <c r="G711" s="89"/>
      <c r="H711" s="89"/>
      <c r="I711" s="89"/>
      <c r="J711" s="89"/>
      <c r="K711" s="90"/>
      <c r="L711" s="91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92"/>
      <c r="AD711" s="2"/>
      <c r="AE711" s="2"/>
      <c r="AF711" s="2"/>
      <c r="AG711" s="2"/>
      <c r="AH711" s="2"/>
      <c r="AI711" s="2"/>
      <c r="AJ711" s="2"/>
      <c r="AK711" s="2"/>
      <c r="AL711" s="54"/>
      <c r="AM711" s="54"/>
      <c r="AN711" s="54"/>
      <c r="AO711" s="54"/>
    </row>
    <row r="712" customFormat="false" ht="11.25" hidden="false" customHeight="true" outlineLevel="0" collapsed="false">
      <c r="A712" s="83"/>
      <c r="B712" s="84"/>
      <c r="C712" s="85"/>
      <c r="D712" s="93"/>
      <c r="E712" s="85"/>
      <c r="F712" s="88"/>
      <c r="G712" s="89"/>
      <c r="H712" s="89"/>
      <c r="I712" s="89"/>
      <c r="J712" s="89"/>
      <c r="K712" s="90"/>
      <c r="L712" s="91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92"/>
      <c r="AD712" s="2"/>
      <c r="AE712" s="2"/>
      <c r="AF712" s="2"/>
      <c r="AG712" s="2"/>
      <c r="AH712" s="2"/>
      <c r="AI712" s="2"/>
      <c r="AJ712" s="2"/>
      <c r="AK712" s="2"/>
      <c r="AL712" s="54"/>
      <c r="AM712" s="54"/>
      <c r="AN712" s="54"/>
      <c r="AO712" s="54"/>
    </row>
    <row r="713" customFormat="false" ht="11.25" hidden="false" customHeight="true" outlineLevel="0" collapsed="false">
      <c r="A713" s="83"/>
      <c r="B713" s="84"/>
      <c r="C713" s="85"/>
      <c r="D713" s="93"/>
      <c r="E713" s="85"/>
      <c r="F713" s="88"/>
      <c r="G713" s="89"/>
      <c r="H713" s="89"/>
      <c r="I713" s="89"/>
      <c r="J713" s="89"/>
      <c r="K713" s="90"/>
      <c r="L713" s="91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92"/>
      <c r="AD713" s="2"/>
      <c r="AE713" s="2"/>
      <c r="AF713" s="2"/>
      <c r="AG713" s="2"/>
      <c r="AH713" s="2"/>
      <c r="AI713" s="2"/>
      <c r="AJ713" s="2"/>
      <c r="AK713" s="2"/>
      <c r="AL713" s="54"/>
      <c r="AM713" s="54"/>
      <c r="AN713" s="54"/>
      <c r="AO713" s="54"/>
    </row>
    <row r="714" customFormat="false" ht="11.25" hidden="false" customHeight="true" outlineLevel="0" collapsed="false">
      <c r="A714" s="83"/>
      <c r="B714" s="84"/>
      <c r="C714" s="85"/>
      <c r="D714" s="93"/>
      <c r="E714" s="85"/>
      <c r="F714" s="88"/>
      <c r="G714" s="89"/>
      <c r="H714" s="89"/>
      <c r="I714" s="89"/>
      <c r="J714" s="89"/>
      <c r="K714" s="90"/>
      <c r="L714" s="91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92"/>
      <c r="AD714" s="2"/>
      <c r="AE714" s="2"/>
      <c r="AF714" s="2"/>
      <c r="AG714" s="2"/>
      <c r="AH714" s="2"/>
      <c r="AI714" s="2"/>
      <c r="AJ714" s="2"/>
      <c r="AK714" s="2"/>
      <c r="AL714" s="54"/>
      <c r="AM714" s="54"/>
      <c r="AN714" s="54"/>
      <c r="AO714" s="54"/>
    </row>
    <row r="715" customFormat="false" ht="11.25" hidden="false" customHeight="true" outlineLevel="0" collapsed="false">
      <c r="A715" s="83"/>
      <c r="B715" s="84"/>
      <c r="C715" s="85"/>
      <c r="D715" s="93"/>
      <c r="E715" s="85"/>
      <c r="F715" s="88"/>
      <c r="G715" s="89"/>
      <c r="H715" s="89"/>
      <c r="I715" s="89"/>
      <c r="J715" s="89"/>
      <c r="K715" s="90"/>
      <c r="L715" s="91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92"/>
      <c r="AD715" s="2"/>
      <c r="AE715" s="2"/>
      <c r="AF715" s="2"/>
      <c r="AG715" s="2"/>
      <c r="AH715" s="2"/>
      <c r="AI715" s="2"/>
      <c r="AJ715" s="2"/>
      <c r="AK715" s="2"/>
      <c r="AL715" s="54"/>
      <c r="AM715" s="54"/>
      <c r="AN715" s="54"/>
      <c r="AO715" s="54"/>
    </row>
    <row r="716" customFormat="false" ht="11.25" hidden="false" customHeight="true" outlineLevel="0" collapsed="false">
      <c r="A716" s="83"/>
      <c r="B716" s="84"/>
      <c r="C716" s="85"/>
      <c r="D716" s="93"/>
      <c r="E716" s="85"/>
      <c r="F716" s="88"/>
      <c r="G716" s="89"/>
      <c r="H716" s="89"/>
      <c r="I716" s="89"/>
      <c r="J716" s="89"/>
      <c r="K716" s="90"/>
      <c r="L716" s="91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92"/>
      <c r="AD716" s="2"/>
      <c r="AE716" s="2"/>
      <c r="AF716" s="2"/>
      <c r="AG716" s="2"/>
      <c r="AH716" s="2"/>
      <c r="AI716" s="2"/>
      <c r="AJ716" s="2"/>
      <c r="AK716" s="2"/>
      <c r="AL716" s="54"/>
      <c r="AM716" s="54"/>
      <c r="AN716" s="54"/>
      <c r="AO716" s="54"/>
    </row>
    <row r="717" customFormat="false" ht="11.25" hidden="false" customHeight="true" outlineLevel="0" collapsed="false">
      <c r="A717" s="83"/>
      <c r="B717" s="84"/>
      <c r="C717" s="85"/>
      <c r="D717" s="93"/>
      <c r="E717" s="85"/>
      <c r="F717" s="88"/>
      <c r="G717" s="89"/>
      <c r="H717" s="89"/>
      <c r="I717" s="89"/>
      <c r="J717" s="89"/>
      <c r="K717" s="90"/>
      <c r="L717" s="91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92"/>
      <c r="AD717" s="2"/>
      <c r="AE717" s="2"/>
      <c r="AF717" s="2"/>
      <c r="AG717" s="2"/>
      <c r="AH717" s="2"/>
      <c r="AI717" s="2"/>
      <c r="AJ717" s="2"/>
      <c r="AK717" s="2"/>
      <c r="AL717" s="54"/>
      <c r="AM717" s="54"/>
      <c r="AN717" s="54"/>
      <c r="AO717" s="54"/>
    </row>
    <row r="718" customFormat="false" ht="11.25" hidden="false" customHeight="true" outlineLevel="0" collapsed="false">
      <c r="A718" s="83"/>
      <c r="B718" s="84"/>
      <c r="C718" s="85"/>
      <c r="D718" s="93"/>
      <c r="E718" s="85"/>
      <c r="F718" s="88"/>
      <c r="G718" s="89"/>
      <c r="H718" s="89"/>
      <c r="I718" s="89"/>
      <c r="J718" s="89"/>
      <c r="K718" s="90"/>
      <c r="L718" s="91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92"/>
      <c r="AD718" s="2"/>
      <c r="AE718" s="2"/>
      <c r="AF718" s="2"/>
      <c r="AG718" s="2"/>
      <c r="AH718" s="2"/>
      <c r="AI718" s="2"/>
      <c r="AJ718" s="2"/>
      <c r="AK718" s="2"/>
      <c r="AL718" s="54"/>
      <c r="AM718" s="54"/>
      <c r="AN718" s="54"/>
      <c r="AO718" s="54"/>
    </row>
    <row r="719" customFormat="false" ht="11.25" hidden="false" customHeight="true" outlineLevel="0" collapsed="false">
      <c r="A719" s="83"/>
      <c r="B719" s="84"/>
      <c r="C719" s="85"/>
      <c r="D719" s="93"/>
      <c r="E719" s="85"/>
      <c r="F719" s="88"/>
      <c r="G719" s="89"/>
      <c r="H719" s="89"/>
      <c r="I719" s="89"/>
      <c r="J719" s="89"/>
      <c r="K719" s="90"/>
      <c r="L719" s="91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92"/>
      <c r="AD719" s="2"/>
      <c r="AE719" s="2"/>
      <c r="AF719" s="2"/>
      <c r="AG719" s="2"/>
      <c r="AH719" s="2"/>
      <c r="AI719" s="2"/>
      <c r="AJ719" s="2"/>
      <c r="AK719" s="2"/>
      <c r="AL719" s="54"/>
      <c r="AM719" s="54"/>
      <c r="AN719" s="54"/>
      <c r="AO719" s="54"/>
    </row>
    <row r="720" customFormat="false" ht="11.25" hidden="false" customHeight="true" outlineLevel="0" collapsed="false">
      <c r="A720" s="83"/>
      <c r="B720" s="84"/>
      <c r="C720" s="85"/>
      <c r="D720" s="93"/>
      <c r="E720" s="85"/>
      <c r="F720" s="88"/>
      <c r="G720" s="89"/>
      <c r="H720" s="89"/>
      <c r="I720" s="89"/>
      <c r="J720" s="89"/>
      <c r="K720" s="90"/>
      <c r="L720" s="91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92"/>
      <c r="AD720" s="2"/>
      <c r="AE720" s="2"/>
      <c r="AF720" s="2"/>
      <c r="AG720" s="2"/>
      <c r="AH720" s="2"/>
      <c r="AI720" s="2"/>
      <c r="AJ720" s="2"/>
      <c r="AK720" s="2"/>
      <c r="AL720" s="54"/>
      <c r="AM720" s="54"/>
      <c r="AN720" s="54"/>
      <c r="AO720" s="54"/>
    </row>
    <row r="721" customFormat="false" ht="11.25" hidden="false" customHeight="true" outlineLevel="0" collapsed="false">
      <c r="A721" s="83"/>
      <c r="B721" s="84"/>
      <c r="C721" s="85"/>
      <c r="D721" s="93"/>
      <c r="E721" s="85"/>
      <c r="F721" s="88"/>
      <c r="G721" s="89"/>
      <c r="H721" s="89"/>
      <c r="I721" s="89"/>
      <c r="J721" s="89"/>
      <c r="K721" s="90"/>
      <c r="L721" s="91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92"/>
      <c r="AD721" s="2"/>
      <c r="AE721" s="2"/>
      <c r="AF721" s="2"/>
      <c r="AG721" s="2"/>
      <c r="AH721" s="2"/>
      <c r="AI721" s="2"/>
      <c r="AJ721" s="2"/>
      <c r="AK721" s="2"/>
      <c r="AL721" s="54"/>
      <c r="AM721" s="54"/>
      <c r="AN721" s="54"/>
      <c r="AO721" s="54"/>
    </row>
    <row r="722" customFormat="false" ht="11.25" hidden="false" customHeight="true" outlineLevel="0" collapsed="false">
      <c r="A722" s="83"/>
      <c r="B722" s="84"/>
      <c r="C722" s="85"/>
      <c r="D722" s="93"/>
      <c r="E722" s="85"/>
      <c r="F722" s="88"/>
      <c r="G722" s="89"/>
      <c r="H722" s="89"/>
      <c r="I722" s="89"/>
      <c r="J722" s="89"/>
      <c r="K722" s="90"/>
      <c r="L722" s="91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92"/>
      <c r="AD722" s="2"/>
      <c r="AE722" s="2"/>
      <c r="AF722" s="2"/>
      <c r="AG722" s="2"/>
      <c r="AH722" s="2"/>
      <c r="AI722" s="2"/>
      <c r="AJ722" s="2"/>
      <c r="AK722" s="2"/>
      <c r="AL722" s="54"/>
      <c r="AM722" s="54"/>
      <c r="AN722" s="54"/>
      <c r="AO722" s="54"/>
    </row>
    <row r="723" customFormat="false" ht="11.25" hidden="false" customHeight="true" outlineLevel="0" collapsed="false">
      <c r="A723" s="83"/>
      <c r="B723" s="84"/>
      <c r="C723" s="85"/>
      <c r="D723" s="93"/>
      <c r="E723" s="85"/>
      <c r="F723" s="88"/>
      <c r="G723" s="89"/>
      <c r="H723" s="89"/>
      <c r="I723" s="89"/>
      <c r="J723" s="89"/>
      <c r="K723" s="90"/>
      <c r="L723" s="91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92"/>
      <c r="AD723" s="2"/>
      <c r="AE723" s="2"/>
      <c r="AF723" s="2"/>
      <c r="AG723" s="2"/>
      <c r="AH723" s="2"/>
      <c r="AI723" s="2"/>
      <c r="AJ723" s="2"/>
      <c r="AK723" s="2"/>
      <c r="AL723" s="54"/>
      <c r="AM723" s="54"/>
      <c r="AN723" s="54"/>
      <c r="AO723" s="54"/>
    </row>
    <row r="724" customFormat="false" ht="11.25" hidden="false" customHeight="true" outlineLevel="0" collapsed="false">
      <c r="A724" s="83"/>
      <c r="B724" s="84"/>
      <c r="C724" s="85"/>
      <c r="D724" s="93"/>
      <c r="E724" s="85"/>
      <c r="F724" s="88"/>
      <c r="G724" s="89"/>
      <c r="H724" s="89"/>
      <c r="I724" s="89"/>
      <c r="J724" s="89"/>
      <c r="K724" s="90"/>
      <c r="L724" s="91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92"/>
      <c r="AD724" s="2"/>
      <c r="AE724" s="2"/>
      <c r="AF724" s="2"/>
      <c r="AG724" s="2"/>
      <c r="AH724" s="2"/>
      <c r="AI724" s="2"/>
      <c r="AJ724" s="2"/>
      <c r="AK724" s="2"/>
      <c r="AL724" s="54"/>
      <c r="AM724" s="54"/>
      <c r="AN724" s="54"/>
      <c r="AO724" s="54"/>
    </row>
    <row r="725" customFormat="false" ht="11.25" hidden="false" customHeight="true" outlineLevel="0" collapsed="false">
      <c r="A725" s="83"/>
      <c r="B725" s="84"/>
      <c r="C725" s="85"/>
      <c r="D725" s="93"/>
      <c r="E725" s="85"/>
      <c r="F725" s="88"/>
      <c r="G725" s="89"/>
      <c r="H725" s="89"/>
      <c r="I725" s="89"/>
      <c r="J725" s="89"/>
      <c r="K725" s="90"/>
      <c r="L725" s="91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92"/>
      <c r="AD725" s="2"/>
      <c r="AE725" s="2"/>
      <c r="AF725" s="2"/>
      <c r="AG725" s="2"/>
      <c r="AH725" s="2"/>
      <c r="AI725" s="2"/>
      <c r="AJ725" s="2"/>
      <c r="AK725" s="2"/>
      <c r="AL725" s="54"/>
      <c r="AM725" s="54"/>
      <c r="AN725" s="54"/>
      <c r="AO725" s="54"/>
    </row>
    <row r="726" customFormat="false" ht="11.25" hidden="false" customHeight="true" outlineLevel="0" collapsed="false">
      <c r="A726" s="83"/>
      <c r="B726" s="84"/>
      <c r="C726" s="85"/>
      <c r="D726" s="93"/>
      <c r="E726" s="85"/>
      <c r="F726" s="88"/>
      <c r="G726" s="89"/>
      <c r="H726" s="89"/>
      <c r="I726" s="89"/>
      <c r="J726" s="89"/>
      <c r="K726" s="90"/>
      <c r="L726" s="91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92"/>
      <c r="AD726" s="2"/>
      <c r="AE726" s="2"/>
      <c r="AF726" s="2"/>
      <c r="AG726" s="2"/>
      <c r="AH726" s="2"/>
      <c r="AI726" s="2"/>
      <c r="AJ726" s="2"/>
      <c r="AK726" s="2"/>
      <c r="AL726" s="54"/>
      <c r="AM726" s="54"/>
      <c r="AN726" s="54"/>
      <c r="AO726" s="54"/>
    </row>
    <row r="727" customFormat="false" ht="11.25" hidden="false" customHeight="true" outlineLevel="0" collapsed="false">
      <c r="A727" s="83"/>
      <c r="B727" s="84"/>
      <c r="C727" s="85"/>
      <c r="D727" s="93"/>
      <c r="E727" s="85"/>
      <c r="F727" s="88"/>
      <c r="G727" s="89"/>
      <c r="H727" s="89"/>
      <c r="I727" s="89"/>
      <c r="J727" s="89"/>
      <c r="K727" s="90"/>
      <c r="L727" s="91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92"/>
      <c r="AD727" s="2"/>
      <c r="AE727" s="2"/>
      <c r="AF727" s="2"/>
      <c r="AG727" s="2"/>
      <c r="AH727" s="2"/>
      <c r="AI727" s="2"/>
      <c r="AJ727" s="2"/>
      <c r="AK727" s="2"/>
      <c r="AL727" s="54"/>
      <c r="AM727" s="54"/>
      <c r="AN727" s="54"/>
      <c r="AO727" s="54"/>
    </row>
    <row r="728" customFormat="false" ht="11.25" hidden="false" customHeight="true" outlineLevel="0" collapsed="false">
      <c r="A728" s="83"/>
      <c r="B728" s="84"/>
      <c r="C728" s="85"/>
      <c r="D728" s="93"/>
      <c r="E728" s="85"/>
      <c r="F728" s="88"/>
      <c r="G728" s="89"/>
      <c r="H728" s="89"/>
      <c r="I728" s="89"/>
      <c r="J728" s="89"/>
      <c r="K728" s="90"/>
      <c r="L728" s="91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92"/>
      <c r="AD728" s="2"/>
      <c r="AE728" s="2"/>
      <c r="AF728" s="2"/>
      <c r="AG728" s="2"/>
      <c r="AH728" s="2"/>
      <c r="AI728" s="2"/>
      <c r="AJ728" s="2"/>
      <c r="AK728" s="2"/>
      <c r="AL728" s="54"/>
      <c r="AM728" s="54"/>
      <c r="AN728" s="54"/>
      <c r="AO728" s="54"/>
    </row>
    <row r="729" customFormat="false" ht="11.25" hidden="false" customHeight="true" outlineLevel="0" collapsed="false">
      <c r="A729" s="83"/>
      <c r="B729" s="84"/>
      <c r="C729" s="85"/>
      <c r="D729" s="93"/>
      <c r="E729" s="85"/>
      <c r="F729" s="88"/>
      <c r="G729" s="89"/>
      <c r="H729" s="89"/>
      <c r="I729" s="89"/>
      <c r="J729" s="89"/>
      <c r="K729" s="90"/>
      <c r="L729" s="91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92"/>
      <c r="AD729" s="2"/>
      <c r="AE729" s="2"/>
      <c r="AF729" s="2"/>
      <c r="AG729" s="2"/>
      <c r="AH729" s="2"/>
      <c r="AI729" s="2"/>
      <c r="AJ729" s="2"/>
      <c r="AK729" s="2"/>
      <c r="AL729" s="54"/>
      <c r="AM729" s="54"/>
      <c r="AN729" s="54"/>
      <c r="AO729" s="54"/>
    </row>
    <row r="730" customFormat="false" ht="11.25" hidden="false" customHeight="true" outlineLevel="0" collapsed="false">
      <c r="A730" s="83"/>
      <c r="B730" s="84"/>
      <c r="C730" s="85"/>
      <c r="D730" s="93"/>
      <c r="E730" s="85"/>
      <c r="F730" s="88"/>
      <c r="G730" s="89"/>
      <c r="H730" s="89"/>
      <c r="I730" s="89"/>
      <c r="J730" s="89"/>
      <c r="K730" s="90"/>
      <c r="L730" s="91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92"/>
      <c r="AD730" s="2"/>
      <c r="AE730" s="2"/>
      <c r="AF730" s="2"/>
      <c r="AG730" s="2"/>
      <c r="AH730" s="2"/>
      <c r="AI730" s="2"/>
      <c r="AJ730" s="2"/>
      <c r="AK730" s="2"/>
      <c r="AL730" s="54"/>
      <c r="AM730" s="54"/>
      <c r="AN730" s="54"/>
      <c r="AO730" s="54"/>
    </row>
    <row r="731" customFormat="false" ht="11.25" hidden="false" customHeight="true" outlineLevel="0" collapsed="false">
      <c r="A731" s="83"/>
      <c r="B731" s="84"/>
      <c r="C731" s="85"/>
      <c r="D731" s="93"/>
      <c r="E731" s="85"/>
      <c r="F731" s="88"/>
      <c r="G731" s="89"/>
      <c r="H731" s="89"/>
      <c r="I731" s="89"/>
      <c r="J731" s="89"/>
      <c r="K731" s="90"/>
      <c r="L731" s="91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92"/>
      <c r="AD731" s="2"/>
      <c r="AE731" s="2"/>
      <c r="AF731" s="2"/>
      <c r="AG731" s="2"/>
      <c r="AH731" s="2"/>
      <c r="AI731" s="2"/>
      <c r="AJ731" s="2"/>
      <c r="AK731" s="2"/>
      <c r="AL731" s="54"/>
      <c r="AM731" s="54"/>
      <c r="AN731" s="54"/>
      <c r="AO731" s="54"/>
    </row>
    <row r="732" customFormat="false" ht="11.25" hidden="false" customHeight="true" outlineLevel="0" collapsed="false">
      <c r="A732" s="83"/>
      <c r="B732" s="84"/>
      <c r="C732" s="85"/>
      <c r="D732" s="93"/>
      <c r="E732" s="85"/>
      <c r="F732" s="88"/>
      <c r="G732" s="89"/>
      <c r="H732" s="89"/>
      <c r="I732" s="89"/>
      <c r="J732" s="89"/>
      <c r="K732" s="90"/>
      <c r="L732" s="91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92"/>
      <c r="AD732" s="2"/>
      <c r="AE732" s="2"/>
      <c r="AF732" s="2"/>
      <c r="AG732" s="2"/>
      <c r="AH732" s="2"/>
      <c r="AI732" s="2"/>
      <c r="AJ732" s="2"/>
      <c r="AK732" s="2"/>
      <c r="AL732" s="54"/>
      <c r="AM732" s="54"/>
      <c r="AN732" s="54"/>
      <c r="AO732" s="54"/>
    </row>
    <row r="733" customFormat="false" ht="11.25" hidden="false" customHeight="true" outlineLevel="0" collapsed="false">
      <c r="A733" s="83"/>
      <c r="B733" s="84"/>
      <c r="C733" s="85"/>
      <c r="D733" s="93"/>
      <c r="E733" s="85"/>
      <c r="F733" s="88"/>
      <c r="G733" s="89"/>
      <c r="H733" s="89"/>
      <c r="I733" s="89"/>
      <c r="J733" s="89"/>
      <c r="K733" s="90"/>
      <c r="L733" s="91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92"/>
      <c r="AD733" s="2"/>
      <c r="AE733" s="2"/>
      <c r="AF733" s="2"/>
      <c r="AG733" s="2"/>
      <c r="AH733" s="2"/>
      <c r="AI733" s="2"/>
      <c r="AJ733" s="2"/>
      <c r="AK733" s="2"/>
      <c r="AL733" s="54"/>
      <c r="AM733" s="54"/>
      <c r="AN733" s="54"/>
      <c r="AO733" s="54"/>
    </row>
    <row r="734" customFormat="false" ht="11.25" hidden="false" customHeight="true" outlineLevel="0" collapsed="false">
      <c r="A734" s="83"/>
      <c r="B734" s="84"/>
      <c r="C734" s="85"/>
      <c r="D734" s="93"/>
      <c r="E734" s="85"/>
      <c r="F734" s="88"/>
      <c r="G734" s="89"/>
      <c r="H734" s="89"/>
      <c r="I734" s="89"/>
      <c r="J734" s="89"/>
      <c r="K734" s="90"/>
      <c r="L734" s="91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92"/>
      <c r="AD734" s="2"/>
      <c r="AE734" s="2"/>
      <c r="AF734" s="2"/>
      <c r="AG734" s="2"/>
      <c r="AH734" s="2"/>
      <c r="AI734" s="2"/>
      <c r="AJ734" s="2"/>
      <c r="AK734" s="2"/>
      <c r="AL734" s="54"/>
      <c r="AM734" s="54"/>
      <c r="AN734" s="54"/>
      <c r="AO734" s="54"/>
    </row>
    <row r="735" customFormat="false" ht="11.25" hidden="false" customHeight="true" outlineLevel="0" collapsed="false">
      <c r="A735" s="83"/>
      <c r="B735" s="84"/>
      <c r="C735" s="85"/>
      <c r="D735" s="93"/>
      <c r="E735" s="85"/>
      <c r="F735" s="88"/>
      <c r="G735" s="89"/>
      <c r="H735" s="89"/>
      <c r="I735" s="89"/>
      <c r="J735" s="89"/>
      <c r="K735" s="90"/>
      <c r="L735" s="91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92"/>
      <c r="AD735" s="2"/>
      <c r="AE735" s="2"/>
      <c r="AF735" s="2"/>
      <c r="AG735" s="2"/>
      <c r="AH735" s="2"/>
      <c r="AI735" s="2"/>
      <c r="AJ735" s="2"/>
      <c r="AK735" s="2"/>
      <c r="AL735" s="54"/>
      <c r="AM735" s="54"/>
      <c r="AN735" s="54"/>
      <c r="AO735" s="54"/>
    </row>
    <row r="736" customFormat="false" ht="11.25" hidden="false" customHeight="true" outlineLevel="0" collapsed="false">
      <c r="A736" s="83"/>
      <c r="B736" s="84"/>
      <c r="C736" s="85"/>
      <c r="D736" s="93"/>
      <c r="E736" s="85"/>
      <c r="F736" s="88"/>
      <c r="G736" s="89"/>
      <c r="H736" s="89"/>
      <c r="I736" s="89"/>
      <c r="J736" s="89"/>
      <c r="K736" s="90"/>
      <c r="L736" s="91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92"/>
      <c r="AD736" s="2"/>
      <c r="AE736" s="2"/>
      <c r="AF736" s="2"/>
      <c r="AG736" s="2"/>
      <c r="AH736" s="2"/>
      <c r="AI736" s="2"/>
      <c r="AJ736" s="2"/>
      <c r="AK736" s="2"/>
      <c r="AL736" s="54"/>
      <c r="AM736" s="54"/>
      <c r="AN736" s="54"/>
      <c r="AO736" s="54"/>
    </row>
    <row r="737" customFormat="false" ht="11.25" hidden="false" customHeight="true" outlineLevel="0" collapsed="false">
      <c r="A737" s="83"/>
      <c r="B737" s="84"/>
      <c r="C737" s="85"/>
      <c r="D737" s="93"/>
      <c r="E737" s="85"/>
      <c r="F737" s="88"/>
      <c r="G737" s="89"/>
      <c r="H737" s="89"/>
      <c r="I737" s="89"/>
      <c r="J737" s="89"/>
      <c r="K737" s="90"/>
      <c r="L737" s="91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92"/>
      <c r="AD737" s="2"/>
      <c r="AE737" s="2"/>
      <c r="AF737" s="2"/>
      <c r="AG737" s="2"/>
      <c r="AH737" s="2"/>
      <c r="AI737" s="2"/>
      <c r="AJ737" s="2"/>
      <c r="AK737" s="2"/>
      <c r="AL737" s="54"/>
      <c r="AM737" s="54"/>
      <c r="AN737" s="54"/>
      <c r="AO737" s="54"/>
    </row>
    <row r="738" customFormat="false" ht="11.25" hidden="false" customHeight="true" outlineLevel="0" collapsed="false">
      <c r="A738" s="83"/>
      <c r="B738" s="84"/>
      <c r="C738" s="85"/>
      <c r="D738" s="93"/>
      <c r="E738" s="85"/>
      <c r="F738" s="88"/>
      <c r="G738" s="89"/>
      <c r="H738" s="89"/>
      <c r="I738" s="89"/>
      <c r="J738" s="89"/>
      <c r="K738" s="90"/>
      <c r="L738" s="91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92"/>
      <c r="AD738" s="2"/>
      <c r="AE738" s="2"/>
      <c r="AF738" s="2"/>
      <c r="AG738" s="2"/>
      <c r="AH738" s="2"/>
      <c r="AI738" s="2"/>
      <c r="AJ738" s="2"/>
      <c r="AK738" s="2"/>
      <c r="AL738" s="54"/>
      <c r="AM738" s="54"/>
      <c r="AN738" s="54"/>
      <c r="AO738" s="54"/>
    </row>
    <row r="739" customFormat="false" ht="11.25" hidden="false" customHeight="true" outlineLevel="0" collapsed="false">
      <c r="A739" s="83"/>
      <c r="B739" s="84"/>
      <c r="C739" s="85"/>
      <c r="D739" s="93"/>
      <c r="E739" s="85"/>
      <c r="F739" s="88"/>
      <c r="G739" s="89"/>
      <c r="H739" s="89"/>
      <c r="I739" s="89"/>
      <c r="J739" s="89"/>
      <c r="K739" s="90"/>
      <c r="L739" s="91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92"/>
      <c r="AD739" s="2"/>
      <c r="AE739" s="2"/>
      <c r="AF739" s="2"/>
      <c r="AG739" s="2"/>
      <c r="AH739" s="2"/>
      <c r="AI739" s="2"/>
      <c r="AJ739" s="2"/>
      <c r="AK739" s="2"/>
      <c r="AL739" s="54"/>
      <c r="AM739" s="54"/>
      <c r="AN739" s="54"/>
      <c r="AO739" s="54"/>
    </row>
    <row r="740" customFormat="false" ht="11.25" hidden="false" customHeight="true" outlineLevel="0" collapsed="false">
      <c r="A740" s="83"/>
      <c r="B740" s="84"/>
      <c r="C740" s="85"/>
      <c r="D740" s="93"/>
      <c r="E740" s="85"/>
      <c r="F740" s="88"/>
      <c r="G740" s="89"/>
      <c r="H740" s="89"/>
      <c r="I740" s="89"/>
      <c r="J740" s="89"/>
      <c r="K740" s="90"/>
      <c r="L740" s="91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92"/>
      <c r="AD740" s="2"/>
      <c r="AE740" s="2"/>
      <c r="AF740" s="2"/>
      <c r="AG740" s="2"/>
      <c r="AH740" s="2"/>
      <c r="AI740" s="2"/>
      <c r="AJ740" s="2"/>
      <c r="AK740" s="2"/>
      <c r="AL740" s="54"/>
      <c r="AM740" s="54"/>
      <c r="AN740" s="54"/>
      <c r="AO740" s="54"/>
    </row>
    <row r="741" customFormat="false" ht="11.25" hidden="false" customHeight="true" outlineLevel="0" collapsed="false">
      <c r="A741" s="83"/>
      <c r="B741" s="84"/>
      <c r="C741" s="85"/>
      <c r="D741" s="93"/>
      <c r="E741" s="85"/>
      <c r="F741" s="88"/>
      <c r="G741" s="89"/>
      <c r="H741" s="89"/>
      <c r="I741" s="89"/>
      <c r="J741" s="89"/>
      <c r="K741" s="90"/>
      <c r="L741" s="91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92"/>
      <c r="AD741" s="2"/>
      <c r="AE741" s="2"/>
      <c r="AF741" s="2"/>
      <c r="AG741" s="2"/>
      <c r="AH741" s="2"/>
      <c r="AI741" s="2"/>
      <c r="AJ741" s="2"/>
      <c r="AK741" s="2"/>
      <c r="AL741" s="54"/>
      <c r="AM741" s="54"/>
      <c r="AN741" s="54"/>
      <c r="AO741" s="54"/>
    </row>
    <row r="742" customFormat="false" ht="11.25" hidden="false" customHeight="true" outlineLevel="0" collapsed="false">
      <c r="A742" s="83"/>
      <c r="B742" s="84"/>
      <c r="C742" s="85"/>
      <c r="D742" s="93"/>
      <c r="E742" s="85"/>
      <c r="F742" s="88"/>
      <c r="G742" s="89"/>
      <c r="H742" s="89"/>
      <c r="I742" s="89"/>
      <c r="J742" s="89"/>
      <c r="K742" s="90"/>
      <c r="L742" s="91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92"/>
      <c r="AD742" s="2"/>
      <c r="AE742" s="2"/>
      <c r="AF742" s="2"/>
      <c r="AG742" s="2"/>
      <c r="AH742" s="2"/>
      <c r="AI742" s="2"/>
      <c r="AJ742" s="2"/>
      <c r="AK742" s="2"/>
      <c r="AL742" s="54"/>
      <c r="AM742" s="54"/>
      <c r="AN742" s="54"/>
      <c r="AO742" s="54"/>
    </row>
    <row r="743" customFormat="false" ht="11.25" hidden="false" customHeight="true" outlineLevel="0" collapsed="false">
      <c r="A743" s="83"/>
      <c r="B743" s="84"/>
      <c r="C743" s="85"/>
      <c r="D743" s="93"/>
      <c r="E743" s="85"/>
      <c r="F743" s="88"/>
      <c r="G743" s="89"/>
      <c r="H743" s="89"/>
      <c r="I743" s="89"/>
      <c r="J743" s="89"/>
      <c r="K743" s="90"/>
      <c r="L743" s="91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92"/>
      <c r="AD743" s="2"/>
      <c r="AE743" s="2"/>
      <c r="AF743" s="2"/>
      <c r="AG743" s="2"/>
      <c r="AH743" s="2"/>
      <c r="AI743" s="2"/>
      <c r="AJ743" s="2"/>
      <c r="AK743" s="2"/>
      <c r="AL743" s="54"/>
      <c r="AM743" s="54"/>
      <c r="AN743" s="54"/>
      <c r="AO743" s="54"/>
    </row>
    <row r="744" customFormat="false" ht="11.25" hidden="false" customHeight="true" outlineLevel="0" collapsed="false">
      <c r="A744" s="83"/>
      <c r="B744" s="84"/>
      <c r="C744" s="85"/>
      <c r="D744" s="93"/>
      <c r="E744" s="85"/>
      <c r="F744" s="88"/>
      <c r="G744" s="89"/>
      <c r="H744" s="89"/>
      <c r="I744" s="89"/>
      <c r="J744" s="89"/>
      <c r="K744" s="90"/>
      <c r="L744" s="91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92"/>
      <c r="AD744" s="2"/>
      <c r="AE744" s="2"/>
      <c r="AF744" s="2"/>
      <c r="AG744" s="2"/>
      <c r="AH744" s="2"/>
      <c r="AI744" s="2"/>
      <c r="AJ744" s="2"/>
      <c r="AK744" s="2"/>
      <c r="AL744" s="54"/>
      <c r="AM744" s="54"/>
      <c r="AN744" s="54"/>
      <c r="AO744" s="54"/>
    </row>
    <row r="745" customFormat="false" ht="11.25" hidden="false" customHeight="true" outlineLevel="0" collapsed="false">
      <c r="A745" s="83"/>
      <c r="B745" s="84"/>
      <c r="C745" s="85"/>
      <c r="D745" s="93"/>
      <c r="E745" s="85"/>
      <c r="F745" s="88"/>
      <c r="G745" s="89"/>
      <c r="H745" s="89"/>
      <c r="I745" s="89"/>
      <c r="J745" s="89"/>
      <c r="K745" s="90"/>
      <c r="L745" s="91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92"/>
      <c r="AD745" s="2"/>
      <c r="AE745" s="2"/>
      <c r="AF745" s="2"/>
      <c r="AG745" s="2"/>
      <c r="AH745" s="2"/>
      <c r="AI745" s="2"/>
      <c r="AJ745" s="2"/>
      <c r="AK745" s="2"/>
      <c r="AL745" s="54"/>
      <c r="AM745" s="54"/>
      <c r="AN745" s="54"/>
      <c r="AO745" s="54"/>
    </row>
    <row r="746" customFormat="false" ht="11.25" hidden="false" customHeight="true" outlineLevel="0" collapsed="false">
      <c r="A746" s="83"/>
      <c r="B746" s="84"/>
      <c r="C746" s="85"/>
      <c r="D746" s="93"/>
      <c r="E746" s="85"/>
      <c r="F746" s="88"/>
      <c r="G746" s="89"/>
      <c r="H746" s="89"/>
      <c r="I746" s="89"/>
      <c r="J746" s="89"/>
      <c r="K746" s="90"/>
      <c r="L746" s="91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92"/>
      <c r="AD746" s="2"/>
      <c r="AE746" s="2"/>
      <c r="AF746" s="2"/>
      <c r="AG746" s="2"/>
      <c r="AH746" s="2"/>
      <c r="AI746" s="2"/>
      <c r="AJ746" s="2"/>
      <c r="AK746" s="2"/>
      <c r="AL746" s="54"/>
      <c r="AM746" s="54"/>
      <c r="AN746" s="54"/>
      <c r="AO746" s="54"/>
    </row>
    <row r="747" customFormat="false" ht="11.25" hidden="false" customHeight="true" outlineLevel="0" collapsed="false">
      <c r="A747" s="83"/>
      <c r="B747" s="84"/>
      <c r="C747" s="85"/>
      <c r="D747" s="93"/>
      <c r="E747" s="85"/>
      <c r="F747" s="88"/>
      <c r="G747" s="89"/>
      <c r="H747" s="89"/>
      <c r="I747" s="89"/>
      <c r="J747" s="89"/>
      <c r="K747" s="90"/>
      <c r="L747" s="91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92"/>
      <c r="AD747" s="2"/>
      <c r="AE747" s="2"/>
      <c r="AF747" s="2"/>
      <c r="AG747" s="2"/>
      <c r="AH747" s="2"/>
      <c r="AI747" s="2"/>
      <c r="AJ747" s="2"/>
      <c r="AK747" s="2"/>
      <c r="AL747" s="54"/>
      <c r="AM747" s="54"/>
      <c r="AN747" s="54"/>
      <c r="AO747" s="54"/>
    </row>
    <row r="748" customFormat="false" ht="11.25" hidden="false" customHeight="true" outlineLevel="0" collapsed="false">
      <c r="A748" s="83"/>
      <c r="B748" s="84"/>
      <c r="C748" s="85"/>
      <c r="D748" s="93"/>
      <c r="E748" s="85"/>
      <c r="F748" s="88"/>
      <c r="G748" s="89"/>
      <c r="H748" s="89"/>
      <c r="I748" s="89"/>
      <c r="J748" s="89"/>
      <c r="K748" s="90"/>
      <c r="L748" s="91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92"/>
      <c r="AD748" s="2"/>
      <c r="AE748" s="2"/>
      <c r="AF748" s="2"/>
      <c r="AG748" s="2"/>
      <c r="AH748" s="2"/>
      <c r="AI748" s="2"/>
      <c r="AJ748" s="2"/>
      <c r="AK748" s="2"/>
      <c r="AL748" s="54"/>
      <c r="AM748" s="54"/>
      <c r="AN748" s="54"/>
      <c r="AO748" s="54"/>
    </row>
    <row r="749" customFormat="false" ht="11.25" hidden="false" customHeight="true" outlineLevel="0" collapsed="false">
      <c r="A749" s="83"/>
      <c r="B749" s="84"/>
      <c r="C749" s="85"/>
      <c r="D749" s="93"/>
      <c r="E749" s="85"/>
      <c r="F749" s="88"/>
      <c r="G749" s="89"/>
      <c r="H749" s="89"/>
      <c r="I749" s="89"/>
      <c r="J749" s="89"/>
      <c r="K749" s="90"/>
      <c r="L749" s="91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92"/>
      <c r="AD749" s="2"/>
      <c r="AE749" s="2"/>
      <c r="AF749" s="2"/>
      <c r="AG749" s="2"/>
      <c r="AH749" s="2"/>
      <c r="AI749" s="2"/>
      <c r="AJ749" s="2"/>
      <c r="AK749" s="2"/>
      <c r="AL749" s="54"/>
      <c r="AM749" s="54"/>
      <c r="AN749" s="54"/>
      <c r="AO749" s="54"/>
    </row>
    <row r="750" customFormat="false" ht="11.25" hidden="false" customHeight="true" outlineLevel="0" collapsed="false">
      <c r="A750" s="83"/>
      <c r="B750" s="84"/>
      <c r="C750" s="85"/>
      <c r="D750" s="93"/>
      <c r="E750" s="85"/>
      <c r="F750" s="88"/>
      <c r="G750" s="89"/>
      <c r="H750" s="89"/>
      <c r="I750" s="89"/>
      <c r="J750" s="89"/>
      <c r="K750" s="90"/>
      <c r="L750" s="91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92"/>
      <c r="AD750" s="2"/>
      <c r="AE750" s="2"/>
      <c r="AF750" s="2"/>
      <c r="AG750" s="2"/>
      <c r="AH750" s="2"/>
      <c r="AI750" s="2"/>
      <c r="AJ750" s="2"/>
      <c r="AK750" s="2"/>
      <c r="AL750" s="54"/>
      <c r="AM750" s="54"/>
      <c r="AN750" s="54"/>
      <c r="AO750" s="54"/>
    </row>
    <row r="751" customFormat="false" ht="11.25" hidden="false" customHeight="true" outlineLevel="0" collapsed="false">
      <c r="A751" s="83"/>
      <c r="B751" s="84"/>
      <c r="C751" s="85"/>
      <c r="D751" s="93"/>
      <c r="E751" s="85"/>
      <c r="F751" s="88"/>
      <c r="G751" s="89"/>
      <c r="H751" s="89"/>
      <c r="I751" s="89"/>
      <c r="J751" s="89"/>
      <c r="K751" s="90"/>
      <c r="L751" s="91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92"/>
      <c r="AD751" s="2"/>
      <c r="AE751" s="2"/>
      <c r="AF751" s="2"/>
      <c r="AG751" s="2"/>
      <c r="AH751" s="2"/>
      <c r="AI751" s="2"/>
      <c r="AJ751" s="2"/>
      <c r="AK751" s="2"/>
      <c r="AL751" s="54"/>
      <c r="AM751" s="54"/>
      <c r="AN751" s="54"/>
      <c r="AO751" s="54"/>
    </row>
    <row r="752" customFormat="false" ht="11.25" hidden="false" customHeight="true" outlineLevel="0" collapsed="false">
      <c r="A752" s="83"/>
      <c r="B752" s="84"/>
      <c r="C752" s="85"/>
      <c r="D752" s="93"/>
      <c r="E752" s="85"/>
      <c r="F752" s="88"/>
      <c r="G752" s="89"/>
      <c r="H752" s="89"/>
      <c r="I752" s="89"/>
      <c r="J752" s="89"/>
      <c r="K752" s="90"/>
      <c r="L752" s="91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92"/>
      <c r="AD752" s="2"/>
      <c r="AE752" s="2"/>
      <c r="AF752" s="2"/>
      <c r="AG752" s="2"/>
      <c r="AH752" s="2"/>
      <c r="AI752" s="2"/>
      <c r="AJ752" s="2"/>
      <c r="AK752" s="2"/>
      <c r="AL752" s="54"/>
      <c r="AM752" s="54"/>
      <c r="AN752" s="54"/>
      <c r="AO752" s="54"/>
    </row>
    <row r="753" customFormat="false" ht="11.25" hidden="false" customHeight="true" outlineLevel="0" collapsed="false">
      <c r="A753" s="83"/>
      <c r="B753" s="84"/>
      <c r="C753" s="85"/>
      <c r="D753" s="93"/>
      <c r="E753" s="85"/>
      <c r="F753" s="88"/>
      <c r="G753" s="89"/>
      <c r="H753" s="89"/>
      <c r="I753" s="89"/>
      <c r="J753" s="89"/>
      <c r="K753" s="90"/>
      <c r="L753" s="91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92"/>
      <c r="AD753" s="2"/>
      <c r="AE753" s="2"/>
      <c r="AF753" s="2"/>
      <c r="AG753" s="2"/>
      <c r="AH753" s="2"/>
      <c r="AI753" s="2"/>
      <c r="AJ753" s="2"/>
      <c r="AK753" s="2"/>
      <c r="AL753" s="54"/>
      <c r="AM753" s="54"/>
      <c r="AN753" s="54"/>
      <c r="AO753" s="54"/>
    </row>
    <row r="754" customFormat="false" ht="11.25" hidden="false" customHeight="true" outlineLevel="0" collapsed="false">
      <c r="A754" s="83"/>
      <c r="B754" s="84"/>
      <c r="C754" s="85"/>
      <c r="D754" s="93"/>
      <c r="E754" s="85"/>
      <c r="F754" s="88"/>
      <c r="G754" s="89"/>
      <c r="H754" s="89"/>
      <c r="I754" s="89"/>
      <c r="J754" s="89"/>
      <c r="K754" s="90"/>
      <c r="L754" s="91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92"/>
      <c r="AD754" s="2"/>
      <c r="AE754" s="2"/>
      <c r="AF754" s="2"/>
      <c r="AG754" s="2"/>
      <c r="AH754" s="2"/>
      <c r="AI754" s="2"/>
      <c r="AJ754" s="2"/>
      <c r="AK754" s="2"/>
      <c r="AL754" s="54"/>
      <c r="AM754" s="54"/>
      <c r="AN754" s="54"/>
      <c r="AO754" s="54"/>
    </row>
    <row r="755" customFormat="false" ht="11.25" hidden="false" customHeight="true" outlineLevel="0" collapsed="false">
      <c r="A755" s="83"/>
      <c r="B755" s="84"/>
      <c r="C755" s="85"/>
      <c r="D755" s="93"/>
      <c r="E755" s="85"/>
      <c r="F755" s="88"/>
      <c r="G755" s="89"/>
      <c r="H755" s="89"/>
      <c r="I755" s="89"/>
      <c r="J755" s="89"/>
      <c r="K755" s="90"/>
      <c r="L755" s="91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92"/>
      <c r="AD755" s="2"/>
      <c r="AE755" s="2"/>
      <c r="AF755" s="2"/>
      <c r="AG755" s="2"/>
      <c r="AH755" s="2"/>
      <c r="AI755" s="2"/>
      <c r="AJ755" s="2"/>
      <c r="AK755" s="2"/>
      <c r="AL755" s="54"/>
      <c r="AM755" s="54"/>
      <c r="AN755" s="54"/>
      <c r="AO755" s="54"/>
    </row>
    <row r="756" customFormat="false" ht="11.25" hidden="false" customHeight="true" outlineLevel="0" collapsed="false">
      <c r="A756" s="83"/>
      <c r="B756" s="84"/>
      <c r="C756" s="85"/>
      <c r="D756" s="93"/>
      <c r="E756" s="85"/>
      <c r="F756" s="88"/>
      <c r="G756" s="89"/>
      <c r="H756" s="89"/>
      <c r="I756" s="89"/>
      <c r="J756" s="89"/>
      <c r="K756" s="90"/>
      <c r="L756" s="91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92"/>
      <c r="AD756" s="2"/>
      <c r="AE756" s="2"/>
      <c r="AF756" s="2"/>
      <c r="AG756" s="2"/>
      <c r="AH756" s="2"/>
      <c r="AI756" s="2"/>
      <c r="AJ756" s="2"/>
      <c r="AK756" s="2"/>
      <c r="AL756" s="54"/>
      <c r="AM756" s="54"/>
      <c r="AN756" s="54"/>
      <c r="AO756" s="54"/>
    </row>
    <row r="757" customFormat="false" ht="11.25" hidden="false" customHeight="true" outlineLevel="0" collapsed="false">
      <c r="A757" s="83"/>
      <c r="B757" s="84"/>
      <c r="C757" s="85"/>
      <c r="D757" s="93"/>
      <c r="E757" s="85"/>
      <c r="F757" s="88"/>
      <c r="G757" s="89"/>
      <c r="H757" s="89"/>
      <c r="I757" s="89"/>
      <c r="J757" s="89"/>
      <c r="K757" s="90"/>
      <c r="L757" s="91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92"/>
      <c r="AD757" s="2"/>
      <c r="AE757" s="2"/>
      <c r="AF757" s="2"/>
      <c r="AG757" s="2"/>
      <c r="AH757" s="2"/>
      <c r="AI757" s="2"/>
      <c r="AJ757" s="2"/>
      <c r="AK757" s="2"/>
      <c r="AL757" s="54"/>
      <c r="AM757" s="54"/>
      <c r="AN757" s="54"/>
      <c r="AO757" s="54"/>
    </row>
    <row r="758" customFormat="false" ht="11.25" hidden="false" customHeight="true" outlineLevel="0" collapsed="false">
      <c r="A758" s="83"/>
      <c r="B758" s="84"/>
      <c r="C758" s="85"/>
      <c r="D758" s="93"/>
      <c r="E758" s="85"/>
      <c r="F758" s="88"/>
      <c r="G758" s="89"/>
      <c r="H758" s="89"/>
      <c r="I758" s="89"/>
      <c r="J758" s="89"/>
      <c r="K758" s="90"/>
      <c r="L758" s="91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92"/>
      <c r="AD758" s="2"/>
      <c r="AE758" s="2"/>
      <c r="AF758" s="2"/>
      <c r="AG758" s="2"/>
      <c r="AH758" s="2"/>
      <c r="AI758" s="2"/>
      <c r="AJ758" s="2"/>
      <c r="AK758" s="2"/>
      <c r="AL758" s="54"/>
      <c r="AM758" s="54"/>
      <c r="AN758" s="54"/>
      <c r="AO758" s="54"/>
    </row>
    <row r="759" customFormat="false" ht="11.25" hidden="false" customHeight="true" outlineLevel="0" collapsed="false">
      <c r="A759" s="83"/>
      <c r="B759" s="84"/>
      <c r="C759" s="85"/>
      <c r="D759" s="93"/>
      <c r="E759" s="85"/>
      <c r="F759" s="88"/>
      <c r="G759" s="89"/>
      <c r="H759" s="89"/>
      <c r="I759" s="89"/>
      <c r="J759" s="89"/>
      <c r="K759" s="90"/>
      <c r="L759" s="91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92"/>
      <c r="AD759" s="2"/>
      <c r="AE759" s="2"/>
      <c r="AF759" s="2"/>
      <c r="AG759" s="2"/>
      <c r="AH759" s="2"/>
      <c r="AI759" s="2"/>
      <c r="AJ759" s="2"/>
      <c r="AK759" s="2"/>
      <c r="AL759" s="54"/>
      <c r="AM759" s="54"/>
      <c r="AN759" s="54"/>
      <c r="AO759" s="54"/>
    </row>
    <row r="760" customFormat="false" ht="11.25" hidden="false" customHeight="true" outlineLevel="0" collapsed="false">
      <c r="A760" s="83"/>
      <c r="B760" s="84"/>
      <c r="C760" s="85"/>
      <c r="D760" s="93"/>
      <c r="E760" s="85"/>
      <c r="F760" s="88"/>
      <c r="G760" s="89"/>
      <c r="H760" s="89"/>
      <c r="I760" s="89"/>
      <c r="J760" s="89"/>
      <c r="K760" s="90"/>
      <c r="L760" s="91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92"/>
      <c r="AD760" s="2"/>
      <c r="AE760" s="2"/>
      <c r="AF760" s="2"/>
      <c r="AG760" s="2"/>
      <c r="AH760" s="2"/>
      <c r="AI760" s="2"/>
      <c r="AJ760" s="2"/>
      <c r="AK760" s="2"/>
      <c r="AL760" s="54"/>
      <c r="AM760" s="54"/>
      <c r="AN760" s="54"/>
      <c r="AO760" s="54"/>
    </row>
    <row r="761" customFormat="false" ht="11.25" hidden="false" customHeight="true" outlineLevel="0" collapsed="false">
      <c r="A761" s="83"/>
      <c r="B761" s="84"/>
      <c r="C761" s="85"/>
      <c r="D761" s="93"/>
      <c r="E761" s="85"/>
      <c r="F761" s="88"/>
      <c r="G761" s="89"/>
      <c r="H761" s="89"/>
      <c r="I761" s="89"/>
      <c r="J761" s="89"/>
      <c r="K761" s="90"/>
      <c r="L761" s="91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92"/>
      <c r="AD761" s="2"/>
      <c r="AE761" s="2"/>
      <c r="AF761" s="2"/>
      <c r="AG761" s="2"/>
      <c r="AH761" s="2"/>
      <c r="AI761" s="2"/>
      <c r="AJ761" s="2"/>
      <c r="AK761" s="2"/>
      <c r="AL761" s="54"/>
      <c r="AM761" s="54"/>
      <c r="AN761" s="54"/>
      <c r="AO761" s="54"/>
    </row>
    <row r="762" customFormat="false" ht="11.25" hidden="false" customHeight="true" outlineLevel="0" collapsed="false">
      <c r="A762" s="83"/>
      <c r="B762" s="84"/>
      <c r="C762" s="85"/>
      <c r="D762" s="93"/>
      <c r="E762" s="85"/>
      <c r="F762" s="88"/>
      <c r="G762" s="89"/>
      <c r="H762" s="89"/>
      <c r="I762" s="89"/>
      <c r="J762" s="89"/>
      <c r="K762" s="90"/>
      <c r="L762" s="91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92"/>
      <c r="AD762" s="2"/>
      <c r="AE762" s="2"/>
      <c r="AF762" s="2"/>
      <c r="AG762" s="2"/>
      <c r="AH762" s="2"/>
      <c r="AI762" s="2"/>
      <c r="AJ762" s="2"/>
      <c r="AK762" s="2"/>
      <c r="AL762" s="54"/>
      <c r="AM762" s="54"/>
      <c r="AN762" s="54"/>
      <c r="AO762" s="54"/>
    </row>
    <row r="763" customFormat="false" ht="11.25" hidden="false" customHeight="true" outlineLevel="0" collapsed="false">
      <c r="A763" s="83"/>
      <c r="B763" s="84"/>
      <c r="C763" s="85"/>
      <c r="D763" s="93"/>
      <c r="E763" s="85"/>
      <c r="F763" s="88"/>
      <c r="G763" s="89"/>
      <c r="H763" s="89"/>
      <c r="I763" s="89"/>
      <c r="J763" s="89"/>
      <c r="K763" s="90"/>
      <c r="L763" s="91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92"/>
      <c r="AD763" s="2"/>
      <c r="AE763" s="2"/>
      <c r="AF763" s="2"/>
      <c r="AG763" s="2"/>
      <c r="AH763" s="2"/>
      <c r="AI763" s="2"/>
      <c r="AJ763" s="2"/>
      <c r="AK763" s="2"/>
      <c r="AL763" s="54"/>
      <c r="AM763" s="54"/>
      <c r="AN763" s="54"/>
      <c r="AO763" s="54"/>
    </row>
    <row r="764" customFormat="false" ht="11.25" hidden="false" customHeight="true" outlineLevel="0" collapsed="false">
      <c r="A764" s="83"/>
      <c r="B764" s="84"/>
      <c r="C764" s="85"/>
      <c r="D764" s="93"/>
      <c r="E764" s="85"/>
      <c r="F764" s="88"/>
      <c r="G764" s="89"/>
      <c r="H764" s="89"/>
      <c r="I764" s="89"/>
      <c r="J764" s="89"/>
      <c r="K764" s="90"/>
      <c r="L764" s="91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92"/>
      <c r="AD764" s="2"/>
      <c r="AE764" s="2"/>
      <c r="AF764" s="2"/>
      <c r="AG764" s="2"/>
      <c r="AH764" s="2"/>
      <c r="AI764" s="2"/>
      <c r="AJ764" s="2"/>
      <c r="AK764" s="2"/>
      <c r="AL764" s="54"/>
      <c r="AM764" s="54"/>
      <c r="AN764" s="54"/>
      <c r="AO764" s="54"/>
    </row>
    <row r="765" customFormat="false" ht="11.25" hidden="false" customHeight="true" outlineLevel="0" collapsed="false">
      <c r="A765" s="83"/>
      <c r="B765" s="84"/>
      <c r="C765" s="85"/>
      <c r="D765" s="93"/>
      <c r="E765" s="85"/>
      <c r="F765" s="88"/>
      <c r="G765" s="89"/>
      <c r="H765" s="89"/>
      <c r="I765" s="89"/>
      <c r="J765" s="89"/>
      <c r="K765" s="90"/>
      <c r="L765" s="91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92"/>
      <c r="AD765" s="2"/>
      <c r="AE765" s="2"/>
      <c r="AF765" s="2"/>
      <c r="AG765" s="2"/>
      <c r="AH765" s="2"/>
      <c r="AI765" s="2"/>
      <c r="AJ765" s="2"/>
      <c r="AK765" s="2"/>
      <c r="AL765" s="54"/>
      <c r="AM765" s="54"/>
      <c r="AN765" s="54"/>
      <c r="AO765" s="54"/>
    </row>
    <row r="766" customFormat="false" ht="11.25" hidden="false" customHeight="true" outlineLevel="0" collapsed="false">
      <c r="A766" s="83"/>
      <c r="B766" s="84"/>
      <c r="C766" s="85"/>
      <c r="D766" s="93"/>
      <c r="E766" s="85"/>
      <c r="F766" s="88"/>
      <c r="G766" s="89"/>
      <c r="H766" s="89"/>
      <c r="I766" s="89"/>
      <c r="J766" s="89"/>
      <c r="K766" s="90"/>
      <c r="L766" s="91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92"/>
      <c r="AD766" s="2"/>
      <c r="AE766" s="2"/>
      <c r="AF766" s="2"/>
      <c r="AG766" s="2"/>
      <c r="AH766" s="2"/>
      <c r="AI766" s="2"/>
      <c r="AJ766" s="2"/>
      <c r="AK766" s="2"/>
      <c r="AL766" s="54"/>
      <c r="AM766" s="54"/>
      <c r="AN766" s="54"/>
      <c r="AO766" s="54"/>
    </row>
    <row r="767" customFormat="false" ht="11.25" hidden="false" customHeight="true" outlineLevel="0" collapsed="false">
      <c r="A767" s="83"/>
      <c r="B767" s="84"/>
      <c r="C767" s="85"/>
      <c r="D767" s="93"/>
      <c r="E767" s="85"/>
      <c r="F767" s="88"/>
      <c r="G767" s="89"/>
      <c r="H767" s="89"/>
      <c r="I767" s="89"/>
      <c r="J767" s="89"/>
      <c r="K767" s="90"/>
      <c r="L767" s="91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92"/>
      <c r="AD767" s="2"/>
      <c r="AE767" s="2"/>
      <c r="AF767" s="2"/>
      <c r="AG767" s="2"/>
      <c r="AH767" s="2"/>
      <c r="AI767" s="2"/>
      <c r="AJ767" s="2"/>
      <c r="AK767" s="2"/>
      <c r="AL767" s="54"/>
      <c r="AM767" s="54"/>
      <c r="AN767" s="54"/>
      <c r="AO767" s="54"/>
    </row>
    <row r="768" customFormat="false" ht="11.25" hidden="false" customHeight="true" outlineLevel="0" collapsed="false">
      <c r="A768" s="83"/>
      <c r="B768" s="84"/>
      <c r="C768" s="85"/>
      <c r="D768" s="93"/>
      <c r="E768" s="85"/>
      <c r="F768" s="88"/>
      <c r="G768" s="89"/>
      <c r="H768" s="89"/>
      <c r="I768" s="89"/>
      <c r="J768" s="89"/>
      <c r="K768" s="90"/>
      <c r="L768" s="91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92"/>
      <c r="AD768" s="2"/>
      <c r="AE768" s="2"/>
      <c r="AF768" s="2"/>
      <c r="AG768" s="2"/>
      <c r="AH768" s="2"/>
      <c r="AI768" s="2"/>
      <c r="AJ768" s="2"/>
      <c r="AK768" s="2"/>
      <c r="AL768" s="54"/>
      <c r="AM768" s="54"/>
      <c r="AN768" s="54"/>
      <c r="AO768" s="54"/>
    </row>
    <row r="769" customFormat="false" ht="11.25" hidden="false" customHeight="true" outlineLevel="0" collapsed="false">
      <c r="A769" s="83"/>
      <c r="B769" s="84"/>
      <c r="C769" s="85"/>
      <c r="D769" s="93"/>
      <c r="E769" s="85"/>
      <c r="F769" s="88"/>
      <c r="G769" s="89"/>
      <c r="H769" s="89"/>
      <c r="I769" s="89"/>
      <c r="J769" s="89"/>
      <c r="K769" s="90"/>
      <c r="L769" s="91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92"/>
      <c r="AD769" s="2"/>
      <c r="AE769" s="2"/>
      <c r="AF769" s="2"/>
      <c r="AG769" s="2"/>
      <c r="AH769" s="2"/>
      <c r="AI769" s="2"/>
      <c r="AJ769" s="2"/>
      <c r="AK769" s="2"/>
      <c r="AL769" s="54"/>
      <c r="AM769" s="54"/>
      <c r="AN769" s="54"/>
      <c r="AO769" s="54"/>
    </row>
    <row r="770" customFormat="false" ht="11.25" hidden="false" customHeight="true" outlineLevel="0" collapsed="false">
      <c r="A770" s="83"/>
      <c r="B770" s="84"/>
      <c r="C770" s="85"/>
      <c r="D770" s="93"/>
      <c r="E770" s="85"/>
      <c r="F770" s="88"/>
      <c r="G770" s="89"/>
      <c r="H770" s="89"/>
      <c r="I770" s="89"/>
      <c r="J770" s="89"/>
      <c r="K770" s="90"/>
      <c r="L770" s="91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92"/>
      <c r="AD770" s="2"/>
      <c r="AE770" s="2"/>
      <c r="AF770" s="2"/>
      <c r="AG770" s="2"/>
      <c r="AH770" s="2"/>
      <c r="AI770" s="2"/>
      <c r="AJ770" s="2"/>
      <c r="AK770" s="2"/>
      <c r="AL770" s="54"/>
      <c r="AM770" s="54"/>
      <c r="AN770" s="54"/>
      <c r="AO770" s="54"/>
    </row>
    <row r="771" customFormat="false" ht="11.25" hidden="false" customHeight="true" outlineLevel="0" collapsed="false">
      <c r="A771" s="83"/>
      <c r="B771" s="84"/>
      <c r="C771" s="85"/>
      <c r="D771" s="93"/>
      <c r="E771" s="85"/>
      <c r="F771" s="88"/>
      <c r="G771" s="89"/>
      <c r="H771" s="89"/>
      <c r="I771" s="89"/>
      <c r="J771" s="89"/>
      <c r="K771" s="90"/>
      <c r="L771" s="91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92"/>
      <c r="AD771" s="2"/>
      <c r="AE771" s="2"/>
      <c r="AF771" s="2"/>
      <c r="AG771" s="2"/>
      <c r="AH771" s="2"/>
      <c r="AI771" s="2"/>
      <c r="AJ771" s="2"/>
      <c r="AK771" s="2"/>
      <c r="AL771" s="54"/>
      <c r="AM771" s="54"/>
      <c r="AN771" s="54"/>
      <c r="AO771" s="54"/>
    </row>
    <row r="772" customFormat="false" ht="11.25" hidden="false" customHeight="true" outlineLevel="0" collapsed="false">
      <c r="A772" s="83"/>
      <c r="B772" s="84"/>
      <c r="C772" s="85"/>
      <c r="D772" s="93"/>
      <c r="E772" s="85"/>
      <c r="F772" s="88"/>
      <c r="G772" s="89"/>
      <c r="H772" s="89"/>
      <c r="I772" s="89"/>
      <c r="J772" s="89"/>
      <c r="K772" s="90"/>
      <c r="L772" s="91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92"/>
      <c r="AD772" s="2"/>
      <c r="AE772" s="2"/>
      <c r="AF772" s="2"/>
      <c r="AG772" s="2"/>
      <c r="AH772" s="2"/>
      <c r="AI772" s="2"/>
      <c r="AJ772" s="2"/>
      <c r="AK772" s="2"/>
      <c r="AL772" s="54"/>
      <c r="AM772" s="54"/>
      <c r="AN772" s="54"/>
      <c r="AO772" s="54"/>
    </row>
    <row r="773" customFormat="false" ht="11.25" hidden="false" customHeight="true" outlineLevel="0" collapsed="false">
      <c r="A773" s="83"/>
      <c r="B773" s="84"/>
      <c r="C773" s="85"/>
      <c r="D773" s="93"/>
      <c r="E773" s="85"/>
      <c r="F773" s="88"/>
      <c r="G773" s="89"/>
      <c r="H773" s="89"/>
      <c r="I773" s="89"/>
      <c r="J773" s="89"/>
      <c r="K773" s="90"/>
      <c r="L773" s="91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92"/>
      <c r="AD773" s="2"/>
      <c r="AE773" s="2"/>
      <c r="AF773" s="2"/>
      <c r="AG773" s="2"/>
      <c r="AH773" s="2"/>
      <c r="AI773" s="2"/>
      <c r="AJ773" s="2"/>
      <c r="AK773" s="2"/>
      <c r="AL773" s="54"/>
      <c r="AM773" s="54"/>
      <c r="AN773" s="54"/>
      <c r="AO773" s="54"/>
    </row>
    <row r="774" customFormat="false" ht="11.25" hidden="false" customHeight="true" outlineLevel="0" collapsed="false">
      <c r="A774" s="83"/>
      <c r="B774" s="84"/>
      <c r="C774" s="85"/>
      <c r="D774" s="93"/>
      <c r="E774" s="85"/>
      <c r="F774" s="88"/>
      <c r="G774" s="89"/>
      <c r="H774" s="89"/>
      <c r="I774" s="89"/>
      <c r="J774" s="89"/>
      <c r="K774" s="90"/>
      <c r="L774" s="91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92"/>
      <c r="AD774" s="2"/>
      <c r="AE774" s="2"/>
      <c r="AF774" s="2"/>
      <c r="AG774" s="2"/>
      <c r="AH774" s="2"/>
      <c r="AI774" s="2"/>
      <c r="AJ774" s="2"/>
      <c r="AK774" s="2"/>
      <c r="AL774" s="54"/>
      <c r="AM774" s="54"/>
      <c r="AN774" s="54"/>
      <c r="AO774" s="54"/>
    </row>
    <row r="775" customFormat="false" ht="11.25" hidden="false" customHeight="true" outlineLevel="0" collapsed="false">
      <c r="A775" s="83"/>
      <c r="B775" s="84"/>
      <c r="C775" s="85"/>
      <c r="D775" s="93"/>
      <c r="E775" s="85"/>
      <c r="F775" s="88"/>
      <c r="G775" s="89"/>
      <c r="H775" s="89"/>
      <c r="I775" s="89"/>
      <c r="J775" s="89"/>
      <c r="K775" s="90"/>
      <c r="L775" s="91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92"/>
      <c r="AD775" s="2"/>
      <c r="AE775" s="2"/>
      <c r="AF775" s="2"/>
      <c r="AG775" s="2"/>
      <c r="AH775" s="2"/>
      <c r="AI775" s="2"/>
      <c r="AJ775" s="2"/>
      <c r="AK775" s="2"/>
      <c r="AL775" s="54"/>
      <c r="AM775" s="54"/>
      <c r="AN775" s="54"/>
      <c r="AO775" s="54"/>
    </row>
    <row r="776" customFormat="false" ht="11.25" hidden="false" customHeight="true" outlineLevel="0" collapsed="false">
      <c r="A776" s="83"/>
      <c r="B776" s="84"/>
      <c r="C776" s="85"/>
      <c r="D776" s="93"/>
      <c r="E776" s="85"/>
      <c r="F776" s="88"/>
      <c r="G776" s="89"/>
      <c r="H776" s="89"/>
      <c r="I776" s="89"/>
      <c r="J776" s="89"/>
      <c r="K776" s="90"/>
      <c r="L776" s="91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92"/>
      <c r="AD776" s="2"/>
      <c r="AE776" s="2"/>
      <c r="AF776" s="2"/>
      <c r="AG776" s="2"/>
      <c r="AH776" s="2"/>
      <c r="AI776" s="2"/>
      <c r="AJ776" s="2"/>
      <c r="AK776" s="2"/>
      <c r="AL776" s="54"/>
      <c r="AM776" s="54"/>
      <c r="AN776" s="54"/>
      <c r="AO776" s="54"/>
    </row>
    <row r="777" customFormat="false" ht="11.25" hidden="false" customHeight="true" outlineLevel="0" collapsed="false">
      <c r="A777" s="83"/>
      <c r="B777" s="84"/>
      <c r="C777" s="85"/>
      <c r="D777" s="93"/>
      <c r="E777" s="85"/>
      <c r="F777" s="88"/>
      <c r="G777" s="89"/>
      <c r="H777" s="89"/>
      <c r="I777" s="89"/>
      <c r="J777" s="89"/>
      <c r="K777" s="90"/>
      <c r="L777" s="91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92"/>
      <c r="AD777" s="2"/>
      <c r="AE777" s="2"/>
      <c r="AF777" s="2"/>
      <c r="AG777" s="2"/>
      <c r="AH777" s="2"/>
      <c r="AI777" s="2"/>
      <c r="AJ777" s="2"/>
      <c r="AK777" s="2"/>
      <c r="AL777" s="54"/>
      <c r="AM777" s="54"/>
      <c r="AN777" s="54"/>
      <c r="AO777" s="54"/>
    </row>
    <row r="778" customFormat="false" ht="11.25" hidden="false" customHeight="true" outlineLevel="0" collapsed="false">
      <c r="A778" s="83"/>
      <c r="B778" s="84"/>
      <c r="C778" s="85"/>
      <c r="D778" s="93"/>
      <c r="E778" s="85"/>
      <c r="F778" s="88"/>
      <c r="G778" s="89"/>
      <c r="H778" s="89"/>
      <c r="I778" s="89"/>
      <c r="J778" s="89"/>
      <c r="K778" s="90"/>
      <c r="L778" s="91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92"/>
      <c r="AD778" s="2"/>
      <c r="AE778" s="2"/>
      <c r="AF778" s="2"/>
      <c r="AG778" s="2"/>
      <c r="AH778" s="2"/>
      <c r="AI778" s="2"/>
      <c r="AJ778" s="2"/>
      <c r="AK778" s="2"/>
      <c r="AL778" s="54"/>
      <c r="AM778" s="54"/>
      <c r="AN778" s="54"/>
      <c r="AO778" s="54"/>
    </row>
    <row r="779" customFormat="false" ht="11.25" hidden="false" customHeight="true" outlineLevel="0" collapsed="false">
      <c r="A779" s="83"/>
      <c r="B779" s="84"/>
      <c r="C779" s="85"/>
      <c r="D779" s="93"/>
      <c r="E779" s="85"/>
      <c r="F779" s="88"/>
      <c r="G779" s="89"/>
      <c r="H779" s="89"/>
      <c r="I779" s="89"/>
      <c r="J779" s="89"/>
      <c r="K779" s="90"/>
      <c r="L779" s="91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92"/>
      <c r="AD779" s="2"/>
      <c r="AE779" s="2"/>
      <c r="AF779" s="2"/>
      <c r="AG779" s="2"/>
      <c r="AH779" s="2"/>
      <c r="AI779" s="2"/>
      <c r="AJ779" s="2"/>
      <c r="AK779" s="2"/>
      <c r="AL779" s="54"/>
      <c r="AM779" s="54"/>
      <c r="AN779" s="54"/>
      <c r="AO779" s="54"/>
    </row>
    <row r="780" customFormat="false" ht="11.25" hidden="false" customHeight="true" outlineLevel="0" collapsed="false">
      <c r="A780" s="83"/>
      <c r="B780" s="84"/>
      <c r="C780" s="85"/>
      <c r="D780" s="93"/>
      <c r="E780" s="85"/>
      <c r="F780" s="88"/>
      <c r="G780" s="89"/>
      <c r="H780" s="89"/>
      <c r="I780" s="89"/>
      <c r="J780" s="89"/>
      <c r="K780" s="90"/>
      <c r="L780" s="91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92"/>
      <c r="AD780" s="2"/>
      <c r="AE780" s="2"/>
      <c r="AF780" s="2"/>
      <c r="AG780" s="2"/>
      <c r="AH780" s="2"/>
      <c r="AI780" s="2"/>
      <c r="AJ780" s="2"/>
      <c r="AK780" s="2"/>
      <c r="AL780" s="54"/>
      <c r="AM780" s="54"/>
      <c r="AN780" s="54"/>
      <c r="AO780" s="54"/>
    </row>
    <row r="781" customFormat="false" ht="11.25" hidden="false" customHeight="true" outlineLevel="0" collapsed="false">
      <c r="A781" s="83"/>
      <c r="B781" s="84"/>
      <c r="C781" s="85"/>
      <c r="D781" s="93"/>
      <c r="E781" s="85"/>
      <c r="F781" s="88"/>
      <c r="G781" s="89"/>
      <c r="H781" s="89"/>
      <c r="I781" s="89"/>
      <c r="J781" s="89"/>
      <c r="K781" s="90"/>
      <c r="L781" s="91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92"/>
      <c r="AD781" s="2"/>
      <c r="AE781" s="2"/>
      <c r="AF781" s="2"/>
      <c r="AG781" s="2"/>
      <c r="AH781" s="2"/>
      <c r="AI781" s="2"/>
      <c r="AJ781" s="2"/>
      <c r="AK781" s="2"/>
      <c r="AL781" s="54"/>
      <c r="AM781" s="54"/>
      <c r="AN781" s="54"/>
      <c r="AO781" s="54"/>
    </row>
    <row r="782" customFormat="false" ht="11.25" hidden="false" customHeight="true" outlineLevel="0" collapsed="false">
      <c r="A782" s="83"/>
      <c r="B782" s="84"/>
      <c r="C782" s="85"/>
      <c r="D782" s="93"/>
      <c r="E782" s="85"/>
      <c r="F782" s="88"/>
      <c r="G782" s="89"/>
      <c r="H782" s="89"/>
      <c r="I782" s="89"/>
      <c r="J782" s="89"/>
      <c r="K782" s="90"/>
      <c r="L782" s="91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92"/>
      <c r="AD782" s="2"/>
      <c r="AE782" s="2"/>
      <c r="AF782" s="2"/>
      <c r="AG782" s="2"/>
      <c r="AH782" s="2"/>
      <c r="AI782" s="2"/>
      <c r="AJ782" s="2"/>
      <c r="AK782" s="2"/>
      <c r="AL782" s="54"/>
      <c r="AM782" s="54"/>
      <c r="AN782" s="54"/>
      <c r="AO782" s="54"/>
    </row>
    <row r="783" customFormat="false" ht="11.25" hidden="false" customHeight="true" outlineLevel="0" collapsed="false">
      <c r="A783" s="83"/>
      <c r="B783" s="84"/>
      <c r="C783" s="85"/>
      <c r="D783" s="93"/>
      <c r="E783" s="85"/>
      <c r="F783" s="88"/>
      <c r="G783" s="89"/>
      <c r="H783" s="89"/>
      <c r="I783" s="89"/>
      <c r="J783" s="89"/>
      <c r="K783" s="90"/>
      <c r="L783" s="91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92"/>
      <c r="AD783" s="2"/>
      <c r="AE783" s="2"/>
      <c r="AF783" s="2"/>
      <c r="AG783" s="2"/>
      <c r="AH783" s="2"/>
      <c r="AI783" s="2"/>
      <c r="AJ783" s="2"/>
      <c r="AK783" s="2"/>
      <c r="AL783" s="54"/>
      <c r="AM783" s="54"/>
      <c r="AN783" s="54"/>
      <c r="AO783" s="54"/>
    </row>
    <row r="784" customFormat="false" ht="11.25" hidden="false" customHeight="true" outlineLevel="0" collapsed="false">
      <c r="A784" s="83"/>
      <c r="B784" s="84"/>
      <c r="C784" s="85"/>
      <c r="D784" s="93"/>
      <c r="E784" s="85"/>
      <c r="F784" s="88"/>
      <c r="G784" s="89"/>
      <c r="H784" s="89"/>
      <c r="I784" s="89"/>
      <c r="J784" s="89"/>
      <c r="K784" s="90"/>
      <c r="L784" s="91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92"/>
      <c r="AD784" s="2"/>
      <c r="AE784" s="2"/>
      <c r="AF784" s="2"/>
      <c r="AG784" s="2"/>
      <c r="AH784" s="2"/>
      <c r="AI784" s="2"/>
      <c r="AJ784" s="2"/>
      <c r="AK784" s="2"/>
      <c r="AL784" s="54"/>
      <c r="AM784" s="54"/>
      <c r="AN784" s="54"/>
      <c r="AO784" s="54"/>
    </row>
    <row r="785" customFormat="false" ht="11.25" hidden="false" customHeight="true" outlineLevel="0" collapsed="false">
      <c r="A785" s="83"/>
      <c r="B785" s="84"/>
      <c r="C785" s="85"/>
      <c r="D785" s="93"/>
      <c r="E785" s="85"/>
      <c r="F785" s="88"/>
      <c r="G785" s="89"/>
      <c r="H785" s="89"/>
      <c r="I785" s="89"/>
      <c r="J785" s="89"/>
      <c r="K785" s="90"/>
      <c r="L785" s="91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92"/>
      <c r="AD785" s="2"/>
      <c r="AE785" s="2"/>
      <c r="AF785" s="2"/>
      <c r="AG785" s="2"/>
      <c r="AH785" s="2"/>
      <c r="AI785" s="2"/>
      <c r="AJ785" s="2"/>
      <c r="AK785" s="2"/>
      <c r="AL785" s="54"/>
      <c r="AM785" s="54"/>
      <c r="AN785" s="54"/>
      <c r="AO785" s="54"/>
    </row>
    <row r="786" customFormat="false" ht="11.25" hidden="false" customHeight="true" outlineLevel="0" collapsed="false">
      <c r="A786" s="83"/>
      <c r="B786" s="84"/>
      <c r="C786" s="85"/>
      <c r="D786" s="93"/>
      <c r="E786" s="85"/>
      <c r="F786" s="88"/>
      <c r="G786" s="89"/>
      <c r="H786" s="89"/>
      <c r="I786" s="89"/>
      <c r="J786" s="89"/>
      <c r="K786" s="90"/>
      <c r="L786" s="91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92"/>
      <c r="AD786" s="2"/>
      <c r="AE786" s="2"/>
      <c r="AF786" s="2"/>
      <c r="AG786" s="2"/>
      <c r="AH786" s="2"/>
      <c r="AI786" s="2"/>
      <c r="AJ786" s="2"/>
      <c r="AK786" s="2"/>
      <c r="AL786" s="54"/>
      <c r="AM786" s="54"/>
      <c r="AN786" s="54"/>
      <c r="AO786" s="54"/>
    </row>
    <row r="787" customFormat="false" ht="11.25" hidden="false" customHeight="true" outlineLevel="0" collapsed="false">
      <c r="A787" s="83"/>
      <c r="B787" s="84"/>
      <c r="C787" s="85"/>
      <c r="D787" s="93"/>
      <c r="E787" s="85"/>
      <c r="F787" s="88"/>
      <c r="G787" s="89"/>
      <c r="H787" s="89"/>
      <c r="I787" s="89"/>
      <c r="J787" s="89"/>
      <c r="K787" s="90"/>
      <c r="L787" s="91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92"/>
      <c r="AD787" s="2"/>
      <c r="AE787" s="2"/>
      <c r="AF787" s="2"/>
      <c r="AG787" s="2"/>
      <c r="AH787" s="2"/>
      <c r="AI787" s="2"/>
      <c r="AJ787" s="2"/>
      <c r="AK787" s="2"/>
      <c r="AL787" s="54"/>
      <c r="AM787" s="54"/>
      <c r="AN787" s="54"/>
      <c r="AO787" s="54"/>
    </row>
    <row r="788" customFormat="false" ht="11.25" hidden="false" customHeight="true" outlineLevel="0" collapsed="false">
      <c r="A788" s="83"/>
      <c r="B788" s="84"/>
      <c r="C788" s="85"/>
      <c r="D788" s="93"/>
      <c r="E788" s="85"/>
      <c r="F788" s="88"/>
      <c r="G788" s="89"/>
      <c r="H788" s="89"/>
      <c r="I788" s="89"/>
      <c r="J788" s="89"/>
      <c r="K788" s="90"/>
      <c r="L788" s="91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92"/>
      <c r="AD788" s="2"/>
      <c r="AE788" s="2"/>
      <c r="AF788" s="2"/>
      <c r="AG788" s="2"/>
      <c r="AH788" s="2"/>
      <c r="AI788" s="2"/>
      <c r="AJ788" s="2"/>
      <c r="AK788" s="2"/>
      <c r="AL788" s="54"/>
      <c r="AM788" s="54"/>
      <c r="AN788" s="54"/>
      <c r="AO788" s="54"/>
    </row>
    <row r="789" customFormat="false" ht="11.25" hidden="false" customHeight="true" outlineLevel="0" collapsed="false">
      <c r="A789" s="83"/>
      <c r="B789" s="84"/>
      <c r="C789" s="85"/>
      <c r="D789" s="93"/>
      <c r="E789" s="85"/>
      <c r="F789" s="88"/>
      <c r="G789" s="89"/>
      <c r="H789" s="89"/>
      <c r="I789" s="89"/>
      <c r="J789" s="89"/>
      <c r="K789" s="90"/>
      <c r="L789" s="91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92"/>
      <c r="AD789" s="2"/>
      <c r="AE789" s="2"/>
      <c r="AF789" s="2"/>
      <c r="AG789" s="2"/>
      <c r="AH789" s="2"/>
      <c r="AI789" s="2"/>
      <c r="AJ789" s="2"/>
      <c r="AK789" s="2"/>
      <c r="AL789" s="54"/>
      <c r="AM789" s="54"/>
      <c r="AN789" s="54"/>
      <c r="AO789" s="54"/>
    </row>
    <row r="790" customFormat="false" ht="11.25" hidden="false" customHeight="true" outlineLevel="0" collapsed="false">
      <c r="A790" s="83"/>
      <c r="B790" s="84"/>
      <c r="C790" s="85"/>
      <c r="D790" s="93"/>
      <c r="E790" s="85"/>
      <c r="F790" s="88"/>
      <c r="G790" s="89"/>
      <c r="H790" s="89"/>
      <c r="I790" s="89"/>
      <c r="J790" s="89"/>
      <c r="K790" s="90"/>
      <c r="L790" s="91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92"/>
      <c r="AD790" s="2"/>
      <c r="AE790" s="2"/>
      <c r="AF790" s="2"/>
      <c r="AG790" s="2"/>
      <c r="AH790" s="2"/>
      <c r="AI790" s="2"/>
      <c r="AJ790" s="2"/>
      <c r="AK790" s="2"/>
      <c r="AL790" s="54"/>
      <c r="AM790" s="54"/>
      <c r="AN790" s="54"/>
      <c r="AO790" s="54"/>
    </row>
    <row r="791" customFormat="false" ht="11.25" hidden="false" customHeight="true" outlineLevel="0" collapsed="false">
      <c r="A791" s="83"/>
      <c r="B791" s="84"/>
      <c r="C791" s="85"/>
      <c r="D791" s="93"/>
      <c r="E791" s="85"/>
      <c r="F791" s="88"/>
      <c r="G791" s="89"/>
      <c r="H791" s="89"/>
      <c r="I791" s="89"/>
      <c r="J791" s="89"/>
      <c r="K791" s="90"/>
      <c r="L791" s="91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92"/>
      <c r="AD791" s="2"/>
      <c r="AE791" s="2"/>
      <c r="AF791" s="2"/>
      <c r="AG791" s="2"/>
      <c r="AH791" s="2"/>
      <c r="AI791" s="2"/>
      <c r="AJ791" s="2"/>
      <c r="AK791" s="2"/>
      <c r="AL791" s="54"/>
      <c r="AM791" s="54"/>
      <c r="AN791" s="54"/>
      <c r="AO791" s="54"/>
    </row>
    <row r="792" customFormat="false" ht="11.25" hidden="false" customHeight="true" outlineLevel="0" collapsed="false">
      <c r="A792" s="83"/>
      <c r="B792" s="84"/>
      <c r="C792" s="85"/>
      <c r="D792" s="93"/>
      <c r="E792" s="85"/>
      <c r="F792" s="88"/>
      <c r="G792" s="89"/>
      <c r="H792" s="89"/>
      <c r="I792" s="89"/>
      <c r="J792" s="89"/>
      <c r="K792" s="90"/>
      <c r="L792" s="91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92"/>
      <c r="AD792" s="2"/>
      <c r="AE792" s="2"/>
      <c r="AF792" s="2"/>
      <c r="AG792" s="2"/>
      <c r="AH792" s="2"/>
      <c r="AI792" s="2"/>
      <c r="AJ792" s="2"/>
      <c r="AK792" s="2"/>
      <c r="AL792" s="54"/>
      <c r="AM792" s="54"/>
      <c r="AN792" s="54"/>
      <c r="AO792" s="54"/>
    </row>
    <row r="793" customFormat="false" ht="11.25" hidden="false" customHeight="true" outlineLevel="0" collapsed="false">
      <c r="A793" s="83"/>
      <c r="B793" s="84"/>
      <c r="C793" s="85"/>
      <c r="D793" s="93"/>
      <c r="E793" s="85"/>
      <c r="F793" s="88"/>
      <c r="G793" s="89"/>
      <c r="H793" s="89"/>
      <c r="I793" s="89"/>
      <c r="J793" s="89"/>
      <c r="K793" s="90"/>
      <c r="L793" s="91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92"/>
      <c r="AD793" s="2"/>
      <c r="AE793" s="2"/>
      <c r="AF793" s="2"/>
      <c r="AG793" s="2"/>
      <c r="AH793" s="2"/>
      <c r="AI793" s="2"/>
      <c r="AJ793" s="2"/>
      <c r="AK793" s="2"/>
      <c r="AL793" s="54"/>
      <c r="AM793" s="54"/>
      <c r="AN793" s="54"/>
      <c r="AO793" s="54"/>
    </row>
    <row r="794" customFormat="false" ht="11.25" hidden="false" customHeight="true" outlineLevel="0" collapsed="false">
      <c r="A794" s="83"/>
      <c r="B794" s="84"/>
      <c r="C794" s="85"/>
      <c r="D794" s="93"/>
      <c r="E794" s="85"/>
      <c r="F794" s="88"/>
      <c r="G794" s="89"/>
      <c r="H794" s="89"/>
      <c r="I794" s="89"/>
      <c r="J794" s="89"/>
      <c r="K794" s="90"/>
      <c r="L794" s="91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92"/>
      <c r="AD794" s="2"/>
      <c r="AE794" s="2"/>
      <c r="AF794" s="2"/>
      <c r="AG794" s="2"/>
      <c r="AH794" s="2"/>
      <c r="AI794" s="2"/>
      <c r="AJ794" s="2"/>
      <c r="AK794" s="2"/>
      <c r="AL794" s="54"/>
      <c r="AM794" s="54"/>
      <c r="AN794" s="54"/>
      <c r="AO794" s="54"/>
    </row>
    <row r="795" customFormat="false" ht="11.25" hidden="false" customHeight="true" outlineLevel="0" collapsed="false">
      <c r="A795" s="83"/>
      <c r="B795" s="84"/>
      <c r="C795" s="85"/>
      <c r="D795" s="93"/>
      <c r="E795" s="85"/>
      <c r="F795" s="88"/>
      <c r="G795" s="89"/>
      <c r="H795" s="89"/>
      <c r="I795" s="89"/>
      <c r="J795" s="89"/>
      <c r="K795" s="90"/>
      <c r="L795" s="91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92"/>
      <c r="AD795" s="2"/>
      <c r="AE795" s="2"/>
      <c r="AF795" s="2"/>
      <c r="AG795" s="2"/>
      <c r="AH795" s="2"/>
      <c r="AI795" s="2"/>
      <c r="AJ795" s="2"/>
      <c r="AK795" s="2"/>
      <c r="AL795" s="54"/>
      <c r="AM795" s="54"/>
      <c r="AN795" s="54"/>
      <c r="AO795" s="54"/>
    </row>
    <row r="796" customFormat="false" ht="11.25" hidden="false" customHeight="true" outlineLevel="0" collapsed="false">
      <c r="A796" s="83"/>
      <c r="B796" s="84"/>
      <c r="C796" s="85"/>
      <c r="D796" s="93"/>
      <c r="E796" s="85"/>
      <c r="F796" s="88"/>
      <c r="G796" s="89"/>
      <c r="H796" s="89"/>
      <c r="I796" s="89"/>
      <c r="J796" s="89"/>
      <c r="K796" s="90"/>
      <c r="L796" s="91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92"/>
      <c r="AD796" s="2"/>
      <c r="AE796" s="2"/>
      <c r="AF796" s="2"/>
      <c r="AG796" s="2"/>
      <c r="AH796" s="2"/>
      <c r="AI796" s="2"/>
      <c r="AJ796" s="2"/>
      <c r="AK796" s="2"/>
      <c r="AL796" s="54"/>
      <c r="AM796" s="54"/>
      <c r="AN796" s="54"/>
      <c r="AO796" s="54"/>
    </row>
    <row r="797" customFormat="false" ht="11.25" hidden="false" customHeight="true" outlineLevel="0" collapsed="false">
      <c r="A797" s="83"/>
      <c r="B797" s="84"/>
      <c r="C797" s="85"/>
      <c r="D797" s="93"/>
      <c r="E797" s="85"/>
      <c r="F797" s="88"/>
      <c r="G797" s="89"/>
      <c r="H797" s="89"/>
      <c r="I797" s="89"/>
      <c r="J797" s="89"/>
      <c r="K797" s="90"/>
      <c r="L797" s="91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92"/>
      <c r="AD797" s="2"/>
      <c r="AE797" s="2"/>
      <c r="AF797" s="2"/>
      <c r="AG797" s="2"/>
      <c r="AH797" s="2"/>
      <c r="AI797" s="2"/>
      <c r="AJ797" s="2"/>
      <c r="AK797" s="2"/>
      <c r="AL797" s="54"/>
      <c r="AM797" s="54"/>
      <c r="AN797" s="54"/>
      <c r="AO797" s="54"/>
    </row>
    <row r="798" customFormat="false" ht="11.25" hidden="false" customHeight="true" outlineLevel="0" collapsed="false">
      <c r="A798" s="83"/>
      <c r="B798" s="84"/>
      <c r="C798" s="85"/>
      <c r="D798" s="93"/>
      <c r="E798" s="85"/>
      <c r="F798" s="88"/>
      <c r="G798" s="89"/>
      <c r="H798" s="89"/>
      <c r="I798" s="89"/>
      <c r="J798" s="89"/>
      <c r="K798" s="90"/>
      <c r="L798" s="91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92"/>
      <c r="AD798" s="2"/>
      <c r="AE798" s="2"/>
      <c r="AF798" s="2"/>
      <c r="AG798" s="2"/>
      <c r="AH798" s="2"/>
      <c r="AI798" s="2"/>
      <c r="AJ798" s="2"/>
      <c r="AK798" s="2"/>
      <c r="AL798" s="54"/>
      <c r="AM798" s="54"/>
      <c r="AN798" s="54"/>
      <c r="AO798" s="54"/>
    </row>
    <row r="799" customFormat="false" ht="11.25" hidden="false" customHeight="true" outlineLevel="0" collapsed="false">
      <c r="A799" s="83"/>
      <c r="B799" s="84"/>
      <c r="C799" s="85"/>
      <c r="D799" s="93"/>
      <c r="E799" s="85"/>
      <c r="F799" s="88"/>
      <c r="G799" s="89"/>
      <c r="H799" s="89"/>
      <c r="I799" s="89"/>
      <c r="J799" s="89"/>
      <c r="K799" s="90"/>
      <c r="L799" s="91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92"/>
      <c r="AD799" s="2"/>
      <c r="AE799" s="2"/>
      <c r="AF799" s="2"/>
      <c r="AG799" s="2"/>
      <c r="AH799" s="2"/>
      <c r="AI799" s="2"/>
      <c r="AJ799" s="2"/>
      <c r="AK799" s="2"/>
      <c r="AL799" s="54"/>
      <c r="AM799" s="54"/>
      <c r="AN799" s="54"/>
      <c r="AO799" s="54"/>
    </row>
    <row r="800" customFormat="false" ht="11.25" hidden="false" customHeight="true" outlineLevel="0" collapsed="false">
      <c r="A800" s="83"/>
      <c r="B800" s="84"/>
      <c r="C800" s="85"/>
      <c r="D800" s="93"/>
      <c r="E800" s="85"/>
      <c r="F800" s="88"/>
      <c r="G800" s="89"/>
      <c r="H800" s="89"/>
      <c r="I800" s="89"/>
      <c r="J800" s="89"/>
      <c r="K800" s="90"/>
      <c r="L800" s="91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92"/>
      <c r="AD800" s="2"/>
      <c r="AE800" s="2"/>
      <c r="AF800" s="2"/>
      <c r="AG800" s="2"/>
      <c r="AH800" s="2"/>
      <c r="AI800" s="2"/>
      <c r="AJ800" s="2"/>
      <c r="AK800" s="2"/>
      <c r="AL800" s="54"/>
      <c r="AM800" s="54"/>
      <c r="AN800" s="54"/>
      <c r="AO800" s="54"/>
    </row>
    <row r="801" customFormat="false" ht="11.25" hidden="false" customHeight="true" outlineLevel="0" collapsed="false">
      <c r="A801" s="83"/>
      <c r="B801" s="84"/>
      <c r="C801" s="85"/>
      <c r="D801" s="93"/>
      <c r="E801" s="85"/>
      <c r="F801" s="88"/>
      <c r="G801" s="89"/>
      <c r="H801" s="89"/>
      <c r="I801" s="89"/>
      <c r="J801" s="89"/>
      <c r="K801" s="90"/>
      <c r="L801" s="91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92"/>
      <c r="AD801" s="2"/>
      <c r="AE801" s="2"/>
      <c r="AF801" s="2"/>
      <c r="AG801" s="2"/>
      <c r="AH801" s="2"/>
      <c r="AI801" s="2"/>
      <c r="AJ801" s="2"/>
      <c r="AK801" s="2"/>
      <c r="AL801" s="54"/>
      <c r="AM801" s="54"/>
      <c r="AN801" s="54"/>
      <c r="AO801" s="54"/>
    </row>
    <row r="802" customFormat="false" ht="11.25" hidden="false" customHeight="true" outlineLevel="0" collapsed="false">
      <c r="A802" s="83"/>
      <c r="B802" s="84"/>
      <c r="C802" s="85"/>
      <c r="D802" s="93"/>
      <c r="E802" s="85"/>
      <c r="F802" s="88"/>
      <c r="G802" s="89"/>
      <c r="H802" s="89"/>
      <c r="I802" s="89"/>
      <c r="J802" s="89"/>
      <c r="K802" s="90"/>
      <c r="L802" s="91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92"/>
      <c r="AD802" s="2"/>
      <c r="AE802" s="2"/>
      <c r="AF802" s="2"/>
      <c r="AG802" s="2"/>
      <c r="AH802" s="2"/>
      <c r="AI802" s="2"/>
      <c r="AJ802" s="2"/>
      <c r="AK802" s="2"/>
      <c r="AL802" s="54"/>
      <c r="AM802" s="54"/>
      <c r="AN802" s="54"/>
      <c r="AO802" s="54"/>
    </row>
    <row r="803" customFormat="false" ht="11.25" hidden="false" customHeight="true" outlineLevel="0" collapsed="false">
      <c r="A803" s="83"/>
      <c r="B803" s="84"/>
      <c r="C803" s="85"/>
      <c r="D803" s="93"/>
      <c r="E803" s="85"/>
      <c r="F803" s="88"/>
      <c r="G803" s="89"/>
      <c r="H803" s="89"/>
      <c r="I803" s="89"/>
      <c r="J803" s="89"/>
      <c r="K803" s="90"/>
      <c r="L803" s="91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92"/>
      <c r="AD803" s="2"/>
      <c r="AE803" s="2"/>
      <c r="AF803" s="2"/>
      <c r="AG803" s="2"/>
      <c r="AH803" s="2"/>
      <c r="AI803" s="2"/>
      <c r="AJ803" s="2"/>
      <c r="AK803" s="2"/>
      <c r="AL803" s="54"/>
      <c r="AM803" s="54"/>
      <c r="AN803" s="54"/>
      <c r="AO803" s="54"/>
    </row>
    <row r="804" customFormat="false" ht="11.25" hidden="false" customHeight="true" outlineLevel="0" collapsed="false">
      <c r="A804" s="83"/>
      <c r="B804" s="84"/>
      <c r="C804" s="85"/>
      <c r="D804" s="93"/>
      <c r="E804" s="85"/>
      <c r="F804" s="88"/>
      <c r="G804" s="89"/>
      <c r="H804" s="89"/>
      <c r="I804" s="89"/>
      <c r="J804" s="89"/>
      <c r="K804" s="90"/>
      <c r="L804" s="91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92"/>
      <c r="AD804" s="2"/>
      <c r="AE804" s="2"/>
      <c r="AF804" s="2"/>
      <c r="AG804" s="2"/>
      <c r="AH804" s="2"/>
      <c r="AI804" s="2"/>
      <c r="AJ804" s="2"/>
      <c r="AK804" s="2"/>
      <c r="AL804" s="54"/>
      <c r="AM804" s="54"/>
      <c r="AN804" s="54"/>
      <c r="AO804" s="54"/>
    </row>
    <row r="805" customFormat="false" ht="11.25" hidden="false" customHeight="true" outlineLevel="0" collapsed="false">
      <c r="A805" s="83"/>
      <c r="B805" s="84"/>
      <c r="C805" s="85"/>
      <c r="D805" s="93"/>
      <c r="E805" s="85"/>
      <c r="F805" s="88"/>
      <c r="G805" s="89"/>
      <c r="H805" s="89"/>
      <c r="I805" s="89"/>
      <c r="J805" s="89"/>
      <c r="K805" s="90"/>
      <c r="L805" s="91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92"/>
      <c r="AD805" s="2"/>
      <c r="AE805" s="2"/>
      <c r="AF805" s="2"/>
      <c r="AG805" s="2"/>
      <c r="AH805" s="2"/>
      <c r="AI805" s="2"/>
      <c r="AJ805" s="2"/>
      <c r="AK805" s="2"/>
      <c r="AL805" s="54"/>
      <c r="AM805" s="54"/>
      <c r="AN805" s="54"/>
      <c r="AO805" s="54"/>
    </row>
    <row r="806" customFormat="false" ht="11.25" hidden="false" customHeight="true" outlineLevel="0" collapsed="false">
      <c r="A806" s="83"/>
      <c r="B806" s="84"/>
      <c r="C806" s="85"/>
      <c r="D806" s="93"/>
      <c r="E806" s="85"/>
      <c r="F806" s="88"/>
      <c r="G806" s="89"/>
      <c r="H806" s="89"/>
      <c r="I806" s="89"/>
      <c r="J806" s="89"/>
      <c r="K806" s="90"/>
      <c r="L806" s="91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92"/>
      <c r="AD806" s="2"/>
      <c r="AE806" s="2"/>
      <c r="AF806" s="2"/>
      <c r="AG806" s="2"/>
      <c r="AH806" s="2"/>
      <c r="AI806" s="2"/>
      <c r="AJ806" s="2"/>
      <c r="AK806" s="2"/>
      <c r="AL806" s="54"/>
      <c r="AM806" s="54"/>
      <c r="AN806" s="54"/>
      <c r="AO806" s="54"/>
    </row>
    <row r="807" customFormat="false" ht="11.25" hidden="false" customHeight="true" outlineLevel="0" collapsed="false">
      <c r="A807" s="83"/>
      <c r="B807" s="84"/>
      <c r="C807" s="85"/>
      <c r="D807" s="93"/>
      <c r="E807" s="85"/>
      <c r="F807" s="88"/>
      <c r="G807" s="89"/>
      <c r="H807" s="89"/>
      <c r="I807" s="89"/>
      <c r="J807" s="89"/>
      <c r="K807" s="90"/>
      <c r="L807" s="91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92"/>
      <c r="AD807" s="2"/>
      <c r="AE807" s="2"/>
      <c r="AF807" s="2"/>
      <c r="AG807" s="2"/>
      <c r="AH807" s="2"/>
      <c r="AI807" s="2"/>
      <c r="AJ807" s="2"/>
      <c r="AK807" s="2"/>
      <c r="AL807" s="54"/>
      <c r="AM807" s="54"/>
      <c r="AN807" s="54"/>
      <c r="AO807" s="54"/>
    </row>
    <row r="808" customFormat="false" ht="11.25" hidden="false" customHeight="true" outlineLevel="0" collapsed="false">
      <c r="A808" s="83"/>
      <c r="B808" s="84"/>
      <c r="C808" s="85"/>
      <c r="D808" s="93"/>
      <c r="E808" s="85"/>
      <c r="F808" s="88"/>
      <c r="G808" s="89"/>
      <c r="H808" s="89"/>
      <c r="I808" s="89"/>
      <c r="J808" s="89"/>
      <c r="K808" s="90"/>
      <c r="L808" s="91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92"/>
      <c r="AD808" s="2"/>
      <c r="AE808" s="2"/>
      <c r="AF808" s="2"/>
      <c r="AG808" s="2"/>
      <c r="AH808" s="2"/>
      <c r="AI808" s="2"/>
      <c r="AJ808" s="2"/>
      <c r="AK808" s="2"/>
      <c r="AL808" s="54"/>
      <c r="AM808" s="54"/>
      <c r="AN808" s="54"/>
      <c r="AO808" s="54"/>
    </row>
    <row r="809" customFormat="false" ht="11.25" hidden="false" customHeight="true" outlineLevel="0" collapsed="false">
      <c r="A809" s="83"/>
      <c r="B809" s="84"/>
      <c r="C809" s="85"/>
      <c r="D809" s="93"/>
      <c r="E809" s="85"/>
      <c r="F809" s="88"/>
      <c r="G809" s="89"/>
      <c r="H809" s="89"/>
      <c r="I809" s="89"/>
      <c r="J809" s="89"/>
      <c r="K809" s="90"/>
      <c r="L809" s="91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92"/>
      <c r="AD809" s="2"/>
      <c r="AE809" s="2"/>
      <c r="AF809" s="2"/>
      <c r="AG809" s="2"/>
      <c r="AH809" s="2"/>
      <c r="AI809" s="2"/>
      <c r="AJ809" s="2"/>
      <c r="AK809" s="2"/>
      <c r="AL809" s="54"/>
      <c r="AM809" s="54"/>
      <c r="AN809" s="54"/>
      <c r="AO809" s="54"/>
    </row>
    <row r="810" customFormat="false" ht="11.25" hidden="false" customHeight="true" outlineLevel="0" collapsed="false">
      <c r="A810" s="83"/>
      <c r="B810" s="84"/>
      <c r="C810" s="85"/>
      <c r="D810" s="93"/>
      <c r="E810" s="85"/>
      <c r="F810" s="88"/>
      <c r="G810" s="89"/>
      <c r="H810" s="89"/>
      <c r="I810" s="89"/>
      <c r="J810" s="89"/>
      <c r="K810" s="90"/>
      <c r="L810" s="91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92"/>
      <c r="AD810" s="2"/>
      <c r="AE810" s="2"/>
      <c r="AF810" s="2"/>
      <c r="AG810" s="2"/>
      <c r="AH810" s="2"/>
      <c r="AI810" s="2"/>
      <c r="AJ810" s="2"/>
      <c r="AK810" s="2"/>
      <c r="AL810" s="54"/>
      <c r="AM810" s="54"/>
      <c r="AN810" s="54"/>
      <c r="AO810" s="54"/>
    </row>
    <row r="811" customFormat="false" ht="11.25" hidden="false" customHeight="true" outlineLevel="0" collapsed="false">
      <c r="A811" s="83"/>
      <c r="B811" s="84"/>
      <c r="C811" s="85"/>
      <c r="D811" s="93"/>
      <c r="E811" s="85"/>
      <c r="F811" s="88"/>
      <c r="G811" s="89"/>
      <c r="H811" s="89"/>
      <c r="I811" s="89"/>
      <c r="J811" s="89"/>
      <c r="K811" s="90"/>
      <c r="L811" s="91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92"/>
      <c r="AD811" s="2"/>
      <c r="AE811" s="2"/>
      <c r="AF811" s="2"/>
      <c r="AG811" s="2"/>
      <c r="AH811" s="2"/>
      <c r="AI811" s="2"/>
      <c r="AJ811" s="2"/>
      <c r="AK811" s="2"/>
      <c r="AL811" s="54"/>
      <c r="AM811" s="54"/>
      <c r="AN811" s="54"/>
      <c r="AO811" s="54"/>
    </row>
    <row r="812" customFormat="false" ht="11.25" hidden="false" customHeight="true" outlineLevel="0" collapsed="false">
      <c r="A812" s="83"/>
      <c r="B812" s="84"/>
      <c r="C812" s="85"/>
      <c r="D812" s="93"/>
      <c r="E812" s="85"/>
      <c r="F812" s="88"/>
      <c r="G812" s="89"/>
      <c r="H812" s="89"/>
      <c r="I812" s="89"/>
      <c r="J812" s="89"/>
      <c r="K812" s="90"/>
      <c r="L812" s="91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92"/>
      <c r="AD812" s="2"/>
      <c r="AE812" s="2"/>
      <c r="AF812" s="2"/>
      <c r="AG812" s="2"/>
      <c r="AH812" s="2"/>
      <c r="AI812" s="2"/>
      <c r="AJ812" s="2"/>
      <c r="AK812" s="2"/>
      <c r="AL812" s="54"/>
      <c r="AM812" s="54"/>
      <c r="AN812" s="54"/>
      <c r="AO812" s="54"/>
    </row>
    <row r="813" customFormat="false" ht="11.25" hidden="false" customHeight="true" outlineLevel="0" collapsed="false">
      <c r="A813" s="83"/>
      <c r="B813" s="84"/>
      <c r="C813" s="85"/>
      <c r="D813" s="93"/>
      <c r="E813" s="85"/>
      <c r="F813" s="88"/>
      <c r="G813" s="89"/>
      <c r="H813" s="89"/>
      <c r="I813" s="89"/>
      <c r="J813" s="89"/>
      <c r="K813" s="90"/>
      <c r="L813" s="91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92"/>
      <c r="AD813" s="2"/>
      <c r="AE813" s="2"/>
      <c r="AF813" s="2"/>
      <c r="AG813" s="2"/>
      <c r="AH813" s="2"/>
      <c r="AI813" s="2"/>
      <c r="AJ813" s="2"/>
      <c r="AK813" s="2"/>
      <c r="AL813" s="54"/>
      <c r="AM813" s="54"/>
      <c r="AN813" s="54"/>
      <c r="AO813" s="54"/>
    </row>
    <row r="814" customFormat="false" ht="11.25" hidden="false" customHeight="true" outlineLevel="0" collapsed="false">
      <c r="A814" s="83"/>
      <c r="B814" s="84"/>
      <c r="C814" s="85"/>
      <c r="D814" s="93"/>
      <c r="E814" s="85"/>
      <c r="F814" s="88"/>
      <c r="G814" s="89"/>
      <c r="H814" s="89"/>
      <c r="I814" s="89"/>
      <c r="J814" s="89"/>
      <c r="K814" s="90"/>
      <c r="L814" s="91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92"/>
      <c r="AD814" s="2"/>
      <c r="AE814" s="2"/>
      <c r="AF814" s="2"/>
      <c r="AG814" s="2"/>
      <c r="AH814" s="2"/>
      <c r="AI814" s="2"/>
      <c r="AJ814" s="2"/>
      <c r="AK814" s="2"/>
      <c r="AL814" s="54"/>
      <c r="AM814" s="54"/>
      <c r="AN814" s="54"/>
      <c r="AO814" s="54"/>
    </row>
    <row r="815" customFormat="false" ht="11.25" hidden="false" customHeight="true" outlineLevel="0" collapsed="false">
      <c r="A815" s="83"/>
      <c r="B815" s="84"/>
      <c r="C815" s="85"/>
      <c r="D815" s="93"/>
      <c r="E815" s="85"/>
      <c r="F815" s="88"/>
      <c r="G815" s="89"/>
      <c r="H815" s="89"/>
      <c r="I815" s="89"/>
      <c r="J815" s="89"/>
      <c r="K815" s="90"/>
      <c r="L815" s="91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92"/>
      <c r="AD815" s="2"/>
      <c r="AE815" s="2"/>
      <c r="AF815" s="2"/>
      <c r="AG815" s="2"/>
      <c r="AH815" s="2"/>
      <c r="AI815" s="2"/>
      <c r="AJ815" s="2"/>
      <c r="AK815" s="2"/>
      <c r="AL815" s="54"/>
      <c r="AM815" s="54"/>
      <c r="AN815" s="54"/>
      <c r="AO815" s="54"/>
    </row>
    <row r="816" customFormat="false" ht="11.25" hidden="false" customHeight="true" outlineLevel="0" collapsed="false">
      <c r="A816" s="83"/>
      <c r="B816" s="84"/>
      <c r="C816" s="85"/>
      <c r="D816" s="93"/>
      <c r="E816" s="85"/>
      <c r="F816" s="88"/>
      <c r="G816" s="89"/>
      <c r="H816" s="89"/>
      <c r="I816" s="89"/>
      <c r="J816" s="89"/>
      <c r="K816" s="90"/>
      <c r="L816" s="91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92"/>
      <c r="AD816" s="2"/>
      <c r="AE816" s="2"/>
      <c r="AF816" s="2"/>
      <c r="AG816" s="2"/>
      <c r="AH816" s="2"/>
      <c r="AI816" s="2"/>
      <c r="AJ816" s="2"/>
      <c r="AK816" s="2"/>
      <c r="AL816" s="54"/>
      <c r="AM816" s="54"/>
      <c r="AN816" s="54"/>
      <c r="AO816" s="54"/>
    </row>
    <row r="817" customFormat="false" ht="11.25" hidden="false" customHeight="true" outlineLevel="0" collapsed="false">
      <c r="A817" s="83"/>
      <c r="B817" s="84"/>
      <c r="C817" s="85"/>
      <c r="D817" s="93"/>
      <c r="E817" s="85"/>
      <c r="F817" s="88"/>
      <c r="G817" s="89"/>
      <c r="H817" s="89"/>
      <c r="I817" s="89"/>
      <c r="J817" s="89"/>
      <c r="K817" s="90"/>
      <c r="L817" s="91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92"/>
      <c r="AD817" s="2"/>
      <c r="AE817" s="2"/>
      <c r="AF817" s="2"/>
      <c r="AG817" s="2"/>
      <c r="AH817" s="2"/>
      <c r="AI817" s="2"/>
      <c r="AJ817" s="2"/>
      <c r="AK817" s="2"/>
      <c r="AL817" s="54"/>
      <c r="AM817" s="54"/>
      <c r="AN817" s="54"/>
      <c r="AO817" s="54"/>
    </row>
    <row r="818" customFormat="false" ht="11.25" hidden="false" customHeight="true" outlineLevel="0" collapsed="false">
      <c r="A818" s="83"/>
      <c r="B818" s="84"/>
      <c r="C818" s="85"/>
      <c r="D818" s="93"/>
      <c r="E818" s="85"/>
      <c r="F818" s="88"/>
      <c r="G818" s="89"/>
      <c r="H818" s="89"/>
      <c r="I818" s="89"/>
      <c r="J818" s="89"/>
      <c r="K818" s="90"/>
      <c r="L818" s="91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92"/>
      <c r="AD818" s="2"/>
      <c r="AE818" s="2"/>
      <c r="AF818" s="2"/>
      <c r="AG818" s="2"/>
      <c r="AH818" s="2"/>
      <c r="AI818" s="2"/>
      <c r="AJ818" s="2"/>
      <c r="AK818" s="2"/>
      <c r="AL818" s="54"/>
      <c r="AM818" s="54"/>
      <c r="AN818" s="54"/>
      <c r="AO818" s="54"/>
    </row>
    <row r="819" customFormat="false" ht="11.25" hidden="false" customHeight="true" outlineLevel="0" collapsed="false">
      <c r="A819" s="83"/>
      <c r="B819" s="84"/>
      <c r="C819" s="85"/>
      <c r="D819" s="93"/>
      <c r="E819" s="85"/>
      <c r="F819" s="88"/>
      <c r="G819" s="89"/>
      <c r="H819" s="89"/>
      <c r="I819" s="89"/>
      <c r="J819" s="89"/>
      <c r="K819" s="90"/>
      <c r="L819" s="91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92"/>
      <c r="AD819" s="2"/>
      <c r="AE819" s="2"/>
      <c r="AF819" s="2"/>
      <c r="AG819" s="2"/>
      <c r="AH819" s="2"/>
      <c r="AI819" s="2"/>
      <c r="AJ819" s="2"/>
      <c r="AK819" s="2"/>
      <c r="AL819" s="54"/>
      <c r="AM819" s="54"/>
      <c r="AN819" s="54"/>
      <c r="AO819" s="54"/>
    </row>
    <row r="820" customFormat="false" ht="11.25" hidden="false" customHeight="true" outlineLevel="0" collapsed="false">
      <c r="A820" s="83"/>
      <c r="B820" s="84"/>
      <c r="C820" s="85"/>
      <c r="D820" s="93"/>
      <c r="E820" s="85"/>
      <c r="F820" s="88"/>
      <c r="G820" s="89"/>
      <c r="H820" s="89"/>
      <c r="I820" s="89"/>
      <c r="J820" s="89"/>
      <c r="K820" s="90"/>
      <c r="L820" s="91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92"/>
      <c r="AD820" s="2"/>
      <c r="AE820" s="2"/>
      <c r="AF820" s="2"/>
      <c r="AG820" s="2"/>
      <c r="AH820" s="2"/>
      <c r="AI820" s="2"/>
      <c r="AJ820" s="2"/>
      <c r="AK820" s="2"/>
      <c r="AL820" s="54"/>
      <c r="AM820" s="54"/>
      <c r="AN820" s="54"/>
      <c r="AO820" s="54"/>
    </row>
    <row r="821" customFormat="false" ht="11.25" hidden="false" customHeight="true" outlineLevel="0" collapsed="false">
      <c r="A821" s="83"/>
      <c r="B821" s="84"/>
      <c r="C821" s="85"/>
      <c r="D821" s="93"/>
      <c r="E821" s="85"/>
      <c r="F821" s="88"/>
      <c r="G821" s="89"/>
      <c r="H821" s="89"/>
      <c r="I821" s="89"/>
      <c r="J821" s="89"/>
      <c r="K821" s="90"/>
      <c r="L821" s="91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92"/>
      <c r="AD821" s="2"/>
      <c r="AE821" s="2"/>
      <c r="AF821" s="2"/>
      <c r="AG821" s="2"/>
      <c r="AH821" s="2"/>
      <c r="AI821" s="2"/>
      <c r="AJ821" s="2"/>
      <c r="AK821" s="2"/>
      <c r="AL821" s="54"/>
      <c r="AM821" s="54"/>
      <c r="AN821" s="54"/>
      <c r="AO821" s="54"/>
    </row>
    <row r="822" customFormat="false" ht="11.25" hidden="false" customHeight="true" outlineLevel="0" collapsed="false">
      <c r="A822" s="83"/>
      <c r="B822" s="84"/>
      <c r="C822" s="85"/>
      <c r="D822" s="93"/>
      <c r="E822" s="85"/>
      <c r="F822" s="88"/>
      <c r="G822" s="89"/>
      <c r="H822" s="89"/>
      <c r="I822" s="89"/>
      <c r="J822" s="89"/>
      <c r="K822" s="90"/>
      <c r="L822" s="91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92"/>
      <c r="AD822" s="2"/>
      <c r="AE822" s="2"/>
      <c r="AF822" s="2"/>
      <c r="AG822" s="2"/>
      <c r="AH822" s="2"/>
      <c r="AI822" s="2"/>
      <c r="AJ822" s="2"/>
      <c r="AK822" s="2"/>
      <c r="AL822" s="54"/>
      <c r="AM822" s="54"/>
      <c r="AN822" s="54"/>
      <c r="AO822" s="54"/>
    </row>
    <row r="823" customFormat="false" ht="11.25" hidden="false" customHeight="true" outlineLevel="0" collapsed="false">
      <c r="A823" s="83"/>
      <c r="B823" s="84"/>
      <c r="C823" s="85"/>
      <c r="D823" s="93"/>
      <c r="E823" s="85"/>
      <c r="F823" s="88"/>
      <c r="G823" s="89"/>
      <c r="H823" s="89"/>
      <c r="I823" s="89"/>
      <c r="J823" s="89"/>
      <c r="K823" s="90"/>
      <c r="L823" s="91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92"/>
      <c r="AD823" s="2"/>
      <c r="AE823" s="2"/>
      <c r="AF823" s="2"/>
      <c r="AG823" s="2"/>
      <c r="AH823" s="2"/>
      <c r="AI823" s="2"/>
      <c r="AJ823" s="2"/>
      <c r="AK823" s="2"/>
      <c r="AL823" s="54"/>
      <c r="AM823" s="54"/>
      <c r="AN823" s="54"/>
      <c r="AO823" s="54"/>
    </row>
    <row r="824" customFormat="false" ht="11.25" hidden="false" customHeight="true" outlineLevel="0" collapsed="false">
      <c r="A824" s="83"/>
      <c r="B824" s="84"/>
      <c r="C824" s="85"/>
      <c r="D824" s="93"/>
      <c r="E824" s="85"/>
      <c r="F824" s="88"/>
      <c r="G824" s="89"/>
      <c r="H824" s="89"/>
      <c r="I824" s="89"/>
      <c r="J824" s="89"/>
      <c r="K824" s="90"/>
      <c r="L824" s="91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92"/>
      <c r="AD824" s="2"/>
      <c r="AE824" s="2"/>
      <c r="AF824" s="2"/>
      <c r="AG824" s="2"/>
      <c r="AH824" s="2"/>
      <c r="AI824" s="2"/>
      <c r="AJ824" s="2"/>
      <c r="AK824" s="2"/>
      <c r="AL824" s="54"/>
      <c r="AM824" s="54"/>
      <c r="AN824" s="54"/>
      <c r="AO824" s="54"/>
    </row>
    <row r="825" customFormat="false" ht="11.25" hidden="false" customHeight="true" outlineLevel="0" collapsed="false">
      <c r="A825" s="83"/>
      <c r="B825" s="84"/>
      <c r="C825" s="85"/>
      <c r="D825" s="93"/>
      <c r="E825" s="85"/>
      <c r="F825" s="88"/>
      <c r="G825" s="89"/>
      <c r="H825" s="89"/>
      <c r="I825" s="89"/>
      <c r="J825" s="89"/>
      <c r="K825" s="90"/>
      <c r="L825" s="91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92"/>
      <c r="AD825" s="2"/>
      <c r="AE825" s="2"/>
      <c r="AF825" s="2"/>
      <c r="AG825" s="2"/>
      <c r="AH825" s="2"/>
      <c r="AI825" s="2"/>
      <c r="AJ825" s="2"/>
      <c r="AK825" s="2"/>
      <c r="AL825" s="54"/>
      <c r="AM825" s="54"/>
      <c r="AN825" s="54"/>
      <c r="AO825" s="54"/>
    </row>
    <row r="826" customFormat="false" ht="11.25" hidden="false" customHeight="true" outlineLevel="0" collapsed="false">
      <c r="A826" s="83"/>
      <c r="B826" s="84"/>
      <c r="C826" s="85"/>
      <c r="D826" s="93"/>
      <c r="E826" s="85"/>
      <c r="F826" s="88"/>
      <c r="G826" s="89"/>
      <c r="H826" s="89"/>
      <c r="I826" s="89"/>
      <c r="J826" s="89"/>
      <c r="K826" s="90"/>
      <c r="L826" s="91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92"/>
      <c r="AD826" s="2"/>
      <c r="AE826" s="2"/>
      <c r="AF826" s="2"/>
      <c r="AG826" s="2"/>
      <c r="AH826" s="2"/>
      <c r="AI826" s="2"/>
      <c r="AJ826" s="2"/>
      <c r="AK826" s="2"/>
      <c r="AL826" s="54"/>
      <c r="AM826" s="54"/>
      <c r="AN826" s="54"/>
      <c r="AO826" s="54"/>
    </row>
    <row r="827" customFormat="false" ht="11.25" hidden="false" customHeight="true" outlineLevel="0" collapsed="false">
      <c r="A827" s="83"/>
      <c r="B827" s="84"/>
      <c r="C827" s="85"/>
      <c r="D827" s="93"/>
      <c r="E827" s="85"/>
      <c r="F827" s="88"/>
      <c r="G827" s="89"/>
      <c r="H827" s="89"/>
      <c r="I827" s="89"/>
      <c r="J827" s="89"/>
      <c r="K827" s="90"/>
      <c r="L827" s="91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92"/>
      <c r="AD827" s="2"/>
      <c r="AE827" s="2"/>
      <c r="AF827" s="2"/>
      <c r="AG827" s="2"/>
      <c r="AH827" s="2"/>
      <c r="AI827" s="2"/>
      <c r="AJ827" s="2"/>
      <c r="AK827" s="2"/>
      <c r="AL827" s="54"/>
      <c r="AM827" s="54"/>
      <c r="AN827" s="54"/>
      <c r="AO827" s="54"/>
    </row>
    <row r="828" customFormat="false" ht="11.25" hidden="false" customHeight="true" outlineLevel="0" collapsed="false">
      <c r="A828" s="83"/>
      <c r="B828" s="84"/>
      <c r="C828" s="85"/>
      <c r="D828" s="93"/>
      <c r="E828" s="85"/>
      <c r="F828" s="88"/>
      <c r="G828" s="89"/>
      <c r="H828" s="89"/>
      <c r="I828" s="89"/>
      <c r="J828" s="89"/>
      <c r="K828" s="90"/>
      <c r="L828" s="91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92"/>
      <c r="AD828" s="2"/>
      <c r="AE828" s="2"/>
      <c r="AF828" s="2"/>
      <c r="AG828" s="2"/>
      <c r="AH828" s="2"/>
      <c r="AI828" s="2"/>
      <c r="AJ828" s="2"/>
      <c r="AK828" s="2"/>
      <c r="AL828" s="54"/>
      <c r="AM828" s="54"/>
      <c r="AN828" s="54"/>
      <c r="AO828" s="54"/>
    </row>
    <row r="829" customFormat="false" ht="11.25" hidden="false" customHeight="true" outlineLevel="0" collapsed="false">
      <c r="A829" s="83"/>
      <c r="B829" s="84"/>
      <c r="C829" s="85"/>
      <c r="D829" s="93"/>
      <c r="E829" s="85"/>
      <c r="F829" s="88"/>
      <c r="G829" s="89"/>
      <c r="H829" s="89"/>
      <c r="I829" s="89"/>
      <c r="J829" s="89"/>
      <c r="K829" s="90"/>
      <c r="L829" s="91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92"/>
      <c r="AD829" s="2"/>
      <c r="AE829" s="2"/>
      <c r="AF829" s="2"/>
      <c r="AG829" s="2"/>
      <c r="AH829" s="2"/>
      <c r="AI829" s="2"/>
      <c r="AJ829" s="2"/>
      <c r="AK829" s="2"/>
      <c r="AL829" s="54"/>
      <c r="AM829" s="54"/>
      <c r="AN829" s="54"/>
      <c r="AO829" s="54"/>
    </row>
    <row r="830" customFormat="false" ht="11.25" hidden="false" customHeight="true" outlineLevel="0" collapsed="false">
      <c r="A830" s="83"/>
      <c r="B830" s="84"/>
      <c r="C830" s="85"/>
      <c r="D830" s="93"/>
      <c r="E830" s="85"/>
      <c r="F830" s="88"/>
      <c r="G830" s="89"/>
      <c r="H830" s="89"/>
      <c r="I830" s="89"/>
      <c r="J830" s="89"/>
      <c r="K830" s="90"/>
      <c r="L830" s="91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92"/>
      <c r="AD830" s="2"/>
      <c r="AE830" s="2"/>
      <c r="AF830" s="2"/>
      <c r="AG830" s="2"/>
      <c r="AH830" s="2"/>
      <c r="AI830" s="2"/>
      <c r="AJ830" s="2"/>
      <c r="AK830" s="2"/>
      <c r="AL830" s="54"/>
      <c r="AM830" s="54"/>
      <c r="AN830" s="54"/>
      <c r="AO830" s="54"/>
    </row>
    <row r="831" customFormat="false" ht="11.25" hidden="false" customHeight="true" outlineLevel="0" collapsed="false">
      <c r="A831" s="83"/>
      <c r="B831" s="84"/>
      <c r="C831" s="85"/>
      <c r="D831" s="93"/>
      <c r="E831" s="85"/>
      <c r="F831" s="88"/>
      <c r="G831" s="89"/>
      <c r="H831" s="89"/>
      <c r="I831" s="89"/>
      <c r="J831" s="89"/>
      <c r="K831" s="90"/>
      <c r="L831" s="91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92"/>
      <c r="AD831" s="2"/>
      <c r="AE831" s="2"/>
      <c r="AF831" s="2"/>
      <c r="AG831" s="2"/>
      <c r="AH831" s="2"/>
      <c r="AI831" s="2"/>
      <c r="AJ831" s="2"/>
      <c r="AK831" s="2"/>
      <c r="AL831" s="54"/>
      <c r="AM831" s="54"/>
      <c r="AN831" s="54"/>
      <c r="AO831" s="54"/>
    </row>
    <row r="832" customFormat="false" ht="11.25" hidden="false" customHeight="true" outlineLevel="0" collapsed="false">
      <c r="A832" s="83"/>
      <c r="B832" s="84"/>
      <c r="C832" s="85"/>
      <c r="D832" s="93"/>
      <c r="E832" s="85"/>
      <c r="F832" s="88"/>
      <c r="G832" s="89"/>
      <c r="H832" s="89"/>
      <c r="I832" s="89"/>
      <c r="J832" s="89"/>
      <c r="K832" s="90"/>
      <c r="L832" s="91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92"/>
      <c r="AD832" s="2"/>
      <c r="AE832" s="2"/>
      <c r="AF832" s="2"/>
      <c r="AG832" s="2"/>
      <c r="AH832" s="2"/>
      <c r="AI832" s="2"/>
      <c r="AJ832" s="2"/>
      <c r="AK832" s="2"/>
      <c r="AL832" s="54"/>
      <c r="AM832" s="54"/>
      <c r="AN832" s="54"/>
      <c r="AO832" s="54"/>
    </row>
    <row r="833" customFormat="false" ht="11.25" hidden="false" customHeight="true" outlineLevel="0" collapsed="false">
      <c r="A833" s="83"/>
      <c r="B833" s="84"/>
      <c r="C833" s="85"/>
      <c r="D833" s="93"/>
      <c r="E833" s="85"/>
      <c r="F833" s="88"/>
      <c r="G833" s="89"/>
      <c r="H833" s="89"/>
      <c r="I833" s="89"/>
      <c r="J833" s="89"/>
      <c r="K833" s="90"/>
      <c r="L833" s="91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92"/>
      <c r="AD833" s="2"/>
      <c r="AE833" s="2"/>
      <c r="AF833" s="2"/>
      <c r="AG833" s="2"/>
      <c r="AH833" s="2"/>
      <c r="AI833" s="2"/>
      <c r="AJ833" s="2"/>
      <c r="AK833" s="2"/>
      <c r="AL833" s="54"/>
      <c r="AM833" s="54"/>
      <c r="AN833" s="54"/>
      <c r="AO833" s="54"/>
    </row>
    <row r="834" customFormat="false" ht="11.25" hidden="false" customHeight="true" outlineLevel="0" collapsed="false">
      <c r="A834" s="83"/>
      <c r="B834" s="84"/>
      <c r="C834" s="85"/>
      <c r="D834" s="93"/>
      <c r="E834" s="85"/>
      <c r="F834" s="88"/>
      <c r="G834" s="89"/>
      <c r="H834" s="89"/>
      <c r="I834" s="89"/>
      <c r="J834" s="89"/>
      <c r="K834" s="90"/>
      <c r="L834" s="91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92"/>
      <c r="AD834" s="2"/>
      <c r="AE834" s="2"/>
      <c r="AF834" s="2"/>
      <c r="AG834" s="2"/>
      <c r="AH834" s="2"/>
      <c r="AI834" s="2"/>
      <c r="AJ834" s="2"/>
      <c r="AK834" s="2"/>
      <c r="AL834" s="54"/>
      <c r="AM834" s="54"/>
      <c r="AN834" s="54"/>
      <c r="AO834" s="54"/>
    </row>
    <row r="835" customFormat="false" ht="11.25" hidden="false" customHeight="true" outlineLevel="0" collapsed="false">
      <c r="A835" s="83"/>
      <c r="B835" s="84"/>
      <c r="C835" s="85"/>
      <c r="D835" s="93"/>
      <c r="E835" s="85"/>
      <c r="F835" s="88"/>
      <c r="G835" s="89"/>
      <c r="H835" s="89"/>
      <c r="I835" s="89"/>
      <c r="J835" s="89"/>
      <c r="K835" s="90"/>
      <c r="L835" s="91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92"/>
      <c r="AD835" s="2"/>
      <c r="AE835" s="2"/>
      <c r="AF835" s="2"/>
      <c r="AG835" s="2"/>
      <c r="AH835" s="2"/>
      <c r="AI835" s="2"/>
      <c r="AJ835" s="2"/>
      <c r="AK835" s="2"/>
      <c r="AL835" s="54"/>
      <c r="AM835" s="54"/>
      <c r="AN835" s="54"/>
      <c r="AO835" s="54"/>
    </row>
    <row r="836" customFormat="false" ht="11.25" hidden="false" customHeight="true" outlineLevel="0" collapsed="false">
      <c r="A836" s="83"/>
      <c r="B836" s="84"/>
      <c r="C836" s="85"/>
      <c r="D836" s="93"/>
      <c r="E836" s="85"/>
      <c r="F836" s="88"/>
      <c r="G836" s="89"/>
      <c r="H836" s="89"/>
      <c r="I836" s="89"/>
      <c r="J836" s="89"/>
      <c r="K836" s="90"/>
      <c r="L836" s="91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92"/>
      <c r="AD836" s="2"/>
      <c r="AE836" s="2"/>
      <c r="AF836" s="2"/>
      <c r="AG836" s="2"/>
      <c r="AH836" s="2"/>
      <c r="AI836" s="2"/>
      <c r="AJ836" s="2"/>
      <c r="AK836" s="2"/>
      <c r="AL836" s="54"/>
      <c r="AM836" s="54"/>
      <c r="AN836" s="54"/>
      <c r="AO836" s="54"/>
    </row>
    <row r="837" customFormat="false" ht="11.25" hidden="false" customHeight="true" outlineLevel="0" collapsed="false">
      <c r="A837" s="83"/>
      <c r="B837" s="84"/>
      <c r="C837" s="85"/>
      <c r="D837" s="93"/>
      <c r="E837" s="85"/>
      <c r="F837" s="88"/>
      <c r="G837" s="89"/>
      <c r="H837" s="89"/>
      <c r="I837" s="89"/>
      <c r="J837" s="89"/>
      <c r="K837" s="90"/>
      <c r="L837" s="91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92"/>
      <c r="AD837" s="2"/>
      <c r="AE837" s="2"/>
      <c r="AF837" s="2"/>
      <c r="AG837" s="2"/>
      <c r="AH837" s="2"/>
      <c r="AI837" s="2"/>
      <c r="AJ837" s="2"/>
      <c r="AK837" s="2"/>
      <c r="AL837" s="54"/>
      <c r="AM837" s="54"/>
      <c r="AN837" s="54"/>
      <c r="AO837" s="54"/>
    </row>
    <row r="838" customFormat="false" ht="11.25" hidden="false" customHeight="true" outlineLevel="0" collapsed="false">
      <c r="A838" s="83"/>
      <c r="B838" s="84"/>
      <c r="C838" s="85"/>
      <c r="D838" s="93"/>
      <c r="E838" s="85"/>
      <c r="F838" s="88"/>
      <c r="G838" s="89"/>
      <c r="H838" s="89"/>
      <c r="I838" s="89"/>
      <c r="J838" s="89"/>
      <c r="K838" s="90"/>
      <c r="L838" s="91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92"/>
      <c r="AD838" s="2"/>
      <c r="AE838" s="2"/>
      <c r="AF838" s="2"/>
      <c r="AG838" s="2"/>
      <c r="AH838" s="2"/>
      <c r="AI838" s="2"/>
      <c r="AJ838" s="2"/>
      <c r="AK838" s="2"/>
      <c r="AL838" s="54"/>
      <c r="AM838" s="54"/>
      <c r="AN838" s="54"/>
      <c r="AO838" s="54"/>
    </row>
    <row r="839" customFormat="false" ht="11.25" hidden="false" customHeight="true" outlineLevel="0" collapsed="false">
      <c r="A839" s="83"/>
      <c r="B839" s="84"/>
      <c r="C839" s="85"/>
      <c r="D839" s="93"/>
      <c r="E839" s="85"/>
      <c r="F839" s="88"/>
      <c r="G839" s="89"/>
      <c r="H839" s="89"/>
      <c r="I839" s="89"/>
      <c r="J839" s="89"/>
      <c r="K839" s="90"/>
      <c r="L839" s="91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92"/>
      <c r="AD839" s="2"/>
      <c r="AE839" s="2"/>
      <c r="AF839" s="2"/>
      <c r="AG839" s="2"/>
      <c r="AH839" s="2"/>
      <c r="AI839" s="2"/>
      <c r="AJ839" s="2"/>
      <c r="AK839" s="2"/>
      <c r="AL839" s="54"/>
      <c r="AM839" s="54"/>
      <c r="AN839" s="54"/>
      <c r="AO839" s="54"/>
    </row>
    <row r="840" customFormat="false" ht="11.25" hidden="false" customHeight="true" outlineLevel="0" collapsed="false">
      <c r="A840" s="83"/>
      <c r="B840" s="84"/>
      <c r="C840" s="85"/>
      <c r="D840" s="93"/>
      <c r="E840" s="85"/>
      <c r="F840" s="88"/>
      <c r="G840" s="89"/>
      <c r="H840" s="89"/>
      <c r="I840" s="89"/>
      <c r="J840" s="89"/>
      <c r="K840" s="90"/>
      <c r="L840" s="91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92"/>
      <c r="AD840" s="2"/>
      <c r="AE840" s="2"/>
      <c r="AF840" s="2"/>
      <c r="AG840" s="2"/>
      <c r="AH840" s="2"/>
      <c r="AI840" s="2"/>
      <c r="AJ840" s="2"/>
      <c r="AK840" s="2"/>
      <c r="AL840" s="54"/>
      <c r="AM840" s="54"/>
      <c r="AN840" s="54"/>
      <c r="AO840" s="54"/>
    </row>
    <row r="841" customFormat="false" ht="11.25" hidden="false" customHeight="true" outlineLevel="0" collapsed="false">
      <c r="A841" s="83"/>
      <c r="B841" s="84"/>
      <c r="C841" s="85"/>
      <c r="D841" s="93"/>
      <c r="E841" s="85"/>
      <c r="F841" s="88"/>
      <c r="G841" s="89"/>
      <c r="H841" s="89"/>
      <c r="I841" s="89"/>
      <c r="J841" s="89"/>
      <c r="K841" s="90"/>
      <c r="L841" s="91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92"/>
      <c r="AD841" s="2"/>
      <c r="AE841" s="2"/>
      <c r="AF841" s="2"/>
      <c r="AG841" s="2"/>
      <c r="AH841" s="2"/>
      <c r="AI841" s="2"/>
      <c r="AJ841" s="2"/>
      <c r="AK841" s="2"/>
      <c r="AL841" s="54"/>
      <c r="AM841" s="54"/>
      <c r="AN841" s="54"/>
      <c r="AO841" s="54"/>
    </row>
    <row r="842" customFormat="false" ht="11.25" hidden="false" customHeight="true" outlineLevel="0" collapsed="false">
      <c r="A842" s="83"/>
      <c r="B842" s="84"/>
      <c r="C842" s="85"/>
      <c r="D842" s="93"/>
      <c r="E842" s="85"/>
      <c r="F842" s="88"/>
      <c r="G842" s="89"/>
      <c r="H842" s="89"/>
      <c r="I842" s="89"/>
      <c r="J842" s="89"/>
      <c r="K842" s="90"/>
      <c r="L842" s="91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92"/>
      <c r="AD842" s="2"/>
      <c r="AE842" s="2"/>
      <c r="AF842" s="2"/>
      <c r="AG842" s="2"/>
      <c r="AH842" s="2"/>
      <c r="AI842" s="2"/>
      <c r="AJ842" s="2"/>
      <c r="AK842" s="2"/>
      <c r="AL842" s="54"/>
      <c r="AM842" s="54"/>
      <c r="AN842" s="54"/>
      <c r="AO842" s="54"/>
    </row>
    <row r="843" customFormat="false" ht="11.25" hidden="false" customHeight="true" outlineLevel="0" collapsed="false">
      <c r="A843" s="83"/>
      <c r="B843" s="84"/>
      <c r="C843" s="85"/>
      <c r="D843" s="93"/>
      <c r="E843" s="85"/>
      <c r="F843" s="88"/>
      <c r="G843" s="89"/>
      <c r="H843" s="89"/>
      <c r="I843" s="89"/>
      <c r="J843" s="89"/>
      <c r="K843" s="90"/>
      <c r="L843" s="91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92"/>
      <c r="AD843" s="2"/>
      <c r="AE843" s="2"/>
      <c r="AF843" s="2"/>
      <c r="AG843" s="2"/>
      <c r="AH843" s="2"/>
      <c r="AI843" s="2"/>
      <c r="AJ843" s="2"/>
      <c r="AK843" s="2"/>
      <c r="AL843" s="54"/>
      <c r="AM843" s="54"/>
      <c r="AN843" s="54"/>
      <c r="AO843" s="54"/>
    </row>
    <row r="844" customFormat="false" ht="11.25" hidden="false" customHeight="true" outlineLevel="0" collapsed="false">
      <c r="A844" s="83"/>
      <c r="B844" s="84"/>
      <c r="C844" s="85"/>
      <c r="D844" s="93"/>
      <c r="E844" s="85"/>
      <c r="F844" s="88"/>
      <c r="G844" s="89"/>
      <c r="H844" s="89"/>
      <c r="I844" s="89"/>
      <c r="J844" s="89"/>
      <c r="K844" s="90"/>
      <c r="L844" s="91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92"/>
      <c r="AD844" s="2"/>
      <c r="AE844" s="2"/>
      <c r="AF844" s="2"/>
      <c r="AG844" s="2"/>
      <c r="AH844" s="2"/>
      <c r="AI844" s="2"/>
      <c r="AJ844" s="2"/>
      <c r="AK844" s="2"/>
      <c r="AL844" s="54"/>
      <c r="AM844" s="54"/>
      <c r="AN844" s="54"/>
      <c r="AO844" s="54"/>
    </row>
    <row r="845" customFormat="false" ht="11.25" hidden="false" customHeight="true" outlineLevel="0" collapsed="false">
      <c r="A845" s="83"/>
      <c r="B845" s="84"/>
      <c r="C845" s="85"/>
      <c r="D845" s="93"/>
      <c r="E845" s="85"/>
      <c r="F845" s="88"/>
      <c r="G845" s="89"/>
      <c r="H845" s="89"/>
      <c r="I845" s="89"/>
      <c r="J845" s="89"/>
      <c r="K845" s="90"/>
      <c r="L845" s="91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92"/>
      <c r="AD845" s="2"/>
      <c r="AE845" s="2"/>
      <c r="AF845" s="2"/>
      <c r="AG845" s="2"/>
      <c r="AH845" s="2"/>
      <c r="AI845" s="2"/>
      <c r="AJ845" s="2"/>
      <c r="AK845" s="2"/>
      <c r="AL845" s="54"/>
      <c r="AM845" s="54"/>
      <c r="AN845" s="54"/>
      <c r="AO845" s="54"/>
    </row>
    <row r="846" customFormat="false" ht="11.25" hidden="false" customHeight="true" outlineLevel="0" collapsed="false">
      <c r="A846" s="83"/>
      <c r="B846" s="84"/>
      <c r="C846" s="85"/>
      <c r="D846" s="93"/>
      <c r="E846" s="85"/>
      <c r="F846" s="88"/>
      <c r="G846" s="89"/>
      <c r="H846" s="89"/>
      <c r="I846" s="89"/>
      <c r="J846" s="89"/>
      <c r="K846" s="90"/>
      <c r="L846" s="91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92"/>
      <c r="AD846" s="2"/>
      <c r="AE846" s="2"/>
      <c r="AF846" s="2"/>
      <c r="AG846" s="2"/>
      <c r="AH846" s="2"/>
      <c r="AI846" s="2"/>
      <c r="AJ846" s="2"/>
      <c r="AK846" s="2"/>
      <c r="AL846" s="54"/>
      <c r="AM846" s="54"/>
      <c r="AN846" s="54"/>
      <c r="AO846" s="54"/>
    </row>
    <row r="847" customFormat="false" ht="11.25" hidden="false" customHeight="true" outlineLevel="0" collapsed="false">
      <c r="A847" s="83"/>
      <c r="B847" s="84"/>
      <c r="C847" s="85"/>
      <c r="D847" s="93"/>
      <c r="E847" s="85"/>
      <c r="F847" s="88"/>
      <c r="G847" s="89"/>
      <c r="H847" s="89"/>
      <c r="I847" s="89"/>
      <c r="J847" s="89"/>
      <c r="K847" s="90"/>
      <c r="L847" s="91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92"/>
      <c r="AD847" s="2"/>
      <c r="AE847" s="2"/>
      <c r="AF847" s="2"/>
      <c r="AG847" s="2"/>
      <c r="AH847" s="2"/>
      <c r="AI847" s="2"/>
      <c r="AJ847" s="2"/>
      <c r="AK847" s="2"/>
      <c r="AL847" s="54"/>
      <c r="AM847" s="54"/>
      <c r="AN847" s="54"/>
      <c r="AO847" s="54"/>
    </row>
    <row r="848" customFormat="false" ht="11.25" hidden="false" customHeight="true" outlineLevel="0" collapsed="false">
      <c r="A848" s="83"/>
      <c r="B848" s="84"/>
      <c r="C848" s="85"/>
      <c r="D848" s="93"/>
      <c r="E848" s="85"/>
      <c r="F848" s="88"/>
      <c r="G848" s="89"/>
      <c r="H848" s="89"/>
      <c r="I848" s="89"/>
      <c r="J848" s="89"/>
      <c r="K848" s="90"/>
      <c r="L848" s="91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92"/>
      <c r="AD848" s="2"/>
      <c r="AE848" s="2"/>
      <c r="AF848" s="2"/>
      <c r="AG848" s="2"/>
      <c r="AH848" s="2"/>
      <c r="AI848" s="2"/>
      <c r="AJ848" s="2"/>
      <c r="AK848" s="2"/>
      <c r="AL848" s="54"/>
      <c r="AM848" s="54"/>
      <c r="AN848" s="54"/>
      <c r="AO848" s="54"/>
    </row>
    <row r="849" customFormat="false" ht="11.25" hidden="false" customHeight="true" outlineLevel="0" collapsed="false">
      <c r="A849" s="83"/>
      <c r="B849" s="84"/>
      <c r="C849" s="85"/>
      <c r="D849" s="93"/>
      <c r="E849" s="85"/>
      <c r="F849" s="88"/>
      <c r="G849" s="89"/>
      <c r="H849" s="89"/>
      <c r="I849" s="89"/>
      <c r="J849" s="89"/>
      <c r="K849" s="90"/>
      <c r="L849" s="91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92"/>
      <c r="AD849" s="2"/>
      <c r="AE849" s="2"/>
      <c r="AF849" s="2"/>
      <c r="AG849" s="2"/>
      <c r="AH849" s="2"/>
      <c r="AI849" s="2"/>
      <c r="AJ849" s="2"/>
      <c r="AK849" s="2"/>
      <c r="AL849" s="54"/>
      <c r="AM849" s="54"/>
      <c r="AN849" s="54"/>
      <c r="AO849" s="54"/>
    </row>
    <row r="850" customFormat="false" ht="11.25" hidden="false" customHeight="true" outlineLevel="0" collapsed="false">
      <c r="A850" s="83"/>
      <c r="B850" s="84"/>
      <c r="C850" s="85"/>
      <c r="D850" s="93"/>
      <c r="E850" s="85"/>
      <c r="F850" s="88"/>
      <c r="G850" s="89"/>
      <c r="H850" s="89"/>
      <c r="I850" s="89"/>
      <c r="J850" s="89"/>
      <c r="K850" s="90"/>
      <c r="L850" s="91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92"/>
      <c r="AD850" s="2"/>
      <c r="AE850" s="2"/>
      <c r="AF850" s="2"/>
      <c r="AG850" s="2"/>
      <c r="AH850" s="2"/>
      <c r="AI850" s="2"/>
      <c r="AJ850" s="2"/>
      <c r="AK850" s="2"/>
      <c r="AL850" s="54"/>
      <c r="AM850" s="54"/>
      <c r="AN850" s="54"/>
      <c r="AO850" s="54"/>
    </row>
    <row r="851" customFormat="false" ht="11.25" hidden="false" customHeight="true" outlineLevel="0" collapsed="false">
      <c r="A851" s="83"/>
      <c r="B851" s="84"/>
      <c r="C851" s="85"/>
      <c r="D851" s="93"/>
      <c r="E851" s="85"/>
      <c r="F851" s="88"/>
      <c r="G851" s="89"/>
      <c r="H851" s="89"/>
      <c r="I851" s="89"/>
      <c r="J851" s="89"/>
      <c r="K851" s="90"/>
      <c r="L851" s="91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92"/>
      <c r="AD851" s="2"/>
      <c r="AE851" s="2"/>
      <c r="AF851" s="2"/>
      <c r="AG851" s="2"/>
      <c r="AH851" s="2"/>
      <c r="AI851" s="2"/>
      <c r="AJ851" s="2"/>
      <c r="AK851" s="2"/>
      <c r="AL851" s="54"/>
      <c r="AM851" s="54"/>
      <c r="AN851" s="54"/>
      <c r="AO851" s="54"/>
    </row>
    <row r="852" customFormat="false" ht="11.25" hidden="false" customHeight="true" outlineLevel="0" collapsed="false">
      <c r="A852" s="83"/>
      <c r="B852" s="84"/>
      <c r="C852" s="85"/>
      <c r="D852" s="93"/>
      <c r="E852" s="85"/>
      <c r="F852" s="88"/>
      <c r="G852" s="89"/>
      <c r="H852" s="89"/>
      <c r="I852" s="89"/>
      <c r="J852" s="89"/>
      <c r="K852" s="90"/>
      <c r="L852" s="91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92"/>
      <c r="AD852" s="2"/>
      <c r="AE852" s="2"/>
      <c r="AF852" s="2"/>
      <c r="AG852" s="2"/>
      <c r="AH852" s="2"/>
      <c r="AI852" s="2"/>
      <c r="AJ852" s="2"/>
      <c r="AK852" s="2"/>
      <c r="AL852" s="54"/>
      <c r="AM852" s="54"/>
      <c r="AN852" s="54"/>
      <c r="AO852" s="54"/>
    </row>
    <row r="853" customFormat="false" ht="11.25" hidden="false" customHeight="true" outlineLevel="0" collapsed="false">
      <c r="A853" s="83"/>
      <c r="B853" s="84"/>
      <c r="C853" s="85"/>
      <c r="D853" s="93"/>
      <c r="E853" s="85"/>
      <c r="F853" s="88"/>
      <c r="G853" s="89"/>
      <c r="H853" s="89"/>
      <c r="I853" s="89"/>
      <c r="J853" s="89"/>
      <c r="K853" s="90"/>
      <c r="L853" s="91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92"/>
      <c r="AD853" s="2"/>
      <c r="AE853" s="2"/>
      <c r="AF853" s="2"/>
      <c r="AG853" s="2"/>
      <c r="AH853" s="2"/>
      <c r="AI853" s="2"/>
      <c r="AJ853" s="2"/>
      <c r="AK853" s="2"/>
      <c r="AL853" s="54"/>
      <c r="AM853" s="54"/>
      <c r="AN853" s="54"/>
      <c r="AO853" s="54"/>
    </row>
    <row r="854" customFormat="false" ht="11.25" hidden="false" customHeight="true" outlineLevel="0" collapsed="false">
      <c r="A854" s="83"/>
      <c r="B854" s="84"/>
      <c r="C854" s="85"/>
      <c r="D854" s="93"/>
      <c r="E854" s="85"/>
      <c r="F854" s="88"/>
      <c r="G854" s="89"/>
      <c r="H854" s="89"/>
      <c r="I854" s="89"/>
      <c r="J854" s="89"/>
      <c r="K854" s="90"/>
      <c r="L854" s="91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92"/>
      <c r="AD854" s="2"/>
      <c r="AE854" s="2"/>
      <c r="AF854" s="2"/>
      <c r="AG854" s="2"/>
      <c r="AH854" s="2"/>
      <c r="AI854" s="2"/>
      <c r="AJ854" s="2"/>
      <c r="AK854" s="2"/>
      <c r="AL854" s="54"/>
      <c r="AM854" s="54"/>
      <c r="AN854" s="54"/>
      <c r="AO854" s="54"/>
    </row>
    <row r="855" customFormat="false" ht="11.25" hidden="false" customHeight="true" outlineLevel="0" collapsed="false">
      <c r="A855" s="83"/>
      <c r="B855" s="84"/>
      <c r="C855" s="85"/>
      <c r="D855" s="93"/>
      <c r="E855" s="85"/>
      <c r="F855" s="88"/>
      <c r="G855" s="89"/>
      <c r="H855" s="89"/>
      <c r="I855" s="89"/>
      <c r="J855" s="89"/>
      <c r="K855" s="90"/>
      <c r="L855" s="91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92"/>
      <c r="AD855" s="2"/>
      <c r="AE855" s="2"/>
      <c r="AF855" s="2"/>
      <c r="AG855" s="2"/>
      <c r="AH855" s="2"/>
      <c r="AI855" s="2"/>
      <c r="AJ855" s="2"/>
      <c r="AK855" s="2"/>
      <c r="AL855" s="54"/>
      <c r="AM855" s="54"/>
      <c r="AN855" s="54"/>
      <c r="AO855" s="54"/>
    </row>
    <row r="856" customFormat="false" ht="11.25" hidden="false" customHeight="true" outlineLevel="0" collapsed="false">
      <c r="A856" s="83"/>
      <c r="B856" s="84"/>
      <c r="C856" s="85"/>
      <c r="D856" s="93"/>
      <c r="E856" s="85"/>
      <c r="F856" s="88"/>
      <c r="G856" s="89"/>
      <c r="H856" s="89"/>
      <c r="I856" s="89"/>
      <c r="J856" s="89"/>
      <c r="K856" s="90"/>
      <c r="L856" s="91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92"/>
      <c r="AD856" s="2"/>
      <c r="AE856" s="2"/>
      <c r="AF856" s="2"/>
      <c r="AG856" s="2"/>
      <c r="AH856" s="2"/>
      <c r="AI856" s="2"/>
      <c r="AJ856" s="2"/>
      <c r="AK856" s="2"/>
      <c r="AL856" s="54"/>
      <c r="AM856" s="54"/>
      <c r="AN856" s="54"/>
      <c r="AO856" s="54"/>
    </row>
    <row r="857" customFormat="false" ht="11.25" hidden="false" customHeight="true" outlineLevel="0" collapsed="false">
      <c r="A857" s="83"/>
      <c r="B857" s="84"/>
      <c r="C857" s="85"/>
      <c r="D857" s="93"/>
      <c r="E857" s="85"/>
      <c r="F857" s="88"/>
      <c r="G857" s="89"/>
      <c r="H857" s="89"/>
      <c r="I857" s="89"/>
      <c r="J857" s="89"/>
      <c r="K857" s="90"/>
      <c r="L857" s="91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92"/>
      <c r="AD857" s="2"/>
      <c r="AE857" s="2"/>
      <c r="AF857" s="2"/>
      <c r="AG857" s="2"/>
      <c r="AH857" s="2"/>
      <c r="AI857" s="2"/>
      <c r="AJ857" s="2"/>
      <c r="AK857" s="2"/>
      <c r="AL857" s="54"/>
      <c r="AM857" s="54"/>
      <c r="AN857" s="54"/>
      <c r="AO857" s="54"/>
    </row>
    <row r="858" customFormat="false" ht="11.25" hidden="false" customHeight="true" outlineLevel="0" collapsed="false">
      <c r="A858" s="83"/>
      <c r="B858" s="84"/>
      <c r="C858" s="85"/>
      <c r="D858" s="93"/>
      <c r="E858" s="85"/>
      <c r="F858" s="88"/>
      <c r="G858" s="89"/>
      <c r="H858" s="89"/>
      <c r="I858" s="89"/>
      <c r="J858" s="89"/>
      <c r="K858" s="90"/>
      <c r="L858" s="91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92"/>
      <c r="AD858" s="2"/>
      <c r="AE858" s="2"/>
      <c r="AF858" s="2"/>
      <c r="AG858" s="2"/>
      <c r="AH858" s="2"/>
      <c r="AI858" s="2"/>
      <c r="AJ858" s="2"/>
      <c r="AK858" s="2"/>
      <c r="AL858" s="54"/>
      <c r="AM858" s="54"/>
      <c r="AN858" s="54"/>
      <c r="AO858" s="54"/>
    </row>
    <row r="859" customFormat="false" ht="11.25" hidden="false" customHeight="true" outlineLevel="0" collapsed="false">
      <c r="A859" s="83"/>
      <c r="B859" s="84"/>
      <c r="C859" s="85"/>
      <c r="D859" s="93"/>
      <c r="E859" s="85"/>
      <c r="F859" s="88"/>
      <c r="G859" s="89"/>
      <c r="H859" s="89"/>
      <c r="I859" s="89"/>
      <c r="J859" s="89"/>
      <c r="K859" s="90"/>
      <c r="L859" s="91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92"/>
      <c r="AD859" s="2"/>
      <c r="AE859" s="2"/>
      <c r="AF859" s="2"/>
      <c r="AG859" s="2"/>
      <c r="AH859" s="2"/>
      <c r="AI859" s="2"/>
      <c r="AJ859" s="2"/>
      <c r="AK859" s="2"/>
      <c r="AL859" s="54"/>
      <c r="AM859" s="54"/>
      <c r="AN859" s="54"/>
      <c r="AO859" s="54"/>
    </row>
    <row r="860" customFormat="false" ht="11.25" hidden="false" customHeight="true" outlineLevel="0" collapsed="false">
      <c r="A860" s="83"/>
      <c r="B860" s="84"/>
      <c r="C860" s="85"/>
      <c r="D860" s="93"/>
      <c r="E860" s="85"/>
      <c r="F860" s="88"/>
      <c r="G860" s="89"/>
      <c r="H860" s="89"/>
      <c r="I860" s="89"/>
      <c r="J860" s="89"/>
      <c r="K860" s="90"/>
      <c r="L860" s="91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92"/>
      <c r="AD860" s="2"/>
      <c r="AE860" s="2"/>
      <c r="AF860" s="2"/>
      <c r="AG860" s="2"/>
      <c r="AH860" s="2"/>
      <c r="AI860" s="2"/>
      <c r="AJ860" s="2"/>
      <c r="AK860" s="2"/>
      <c r="AL860" s="54"/>
      <c r="AM860" s="54"/>
      <c r="AN860" s="54"/>
      <c r="AO860" s="54"/>
    </row>
    <row r="861" customFormat="false" ht="11.25" hidden="false" customHeight="true" outlineLevel="0" collapsed="false">
      <c r="A861" s="83"/>
      <c r="B861" s="84"/>
      <c r="C861" s="85"/>
      <c r="D861" s="93"/>
      <c r="E861" s="85"/>
      <c r="F861" s="88"/>
      <c r="G861" s="89"/>
      <c r="H861" s="89"/>
      <c r="I861" s="89"/>
      <c r="J861" s="89"/>
      <c r="K861" s="90"/>
      <c r="L861" s="91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92"/>
      <c r="AD861" s="2"/>
      <c r="AE861" s="2"/>
      <c r="AF861" s="2"/>
      <c r="AG861" s="2"/>
      <c r="AH861" s="2"/>
      <c r="AI861" s="2"/>
      <c r="AJ861" s="2"/>
      <c r="AK861" s="2"/>
      <c r="AL861" s="54"/>
      <c r="AM861" s="54"/>
      <c r="AN861" s="54"/>
      <c r="AO861" s="54"/>
    </row>
    <row r="862" customFormat="false" ht="11.25" hidden="false" customHeight="true" outlineLevel="0" collapsed="false">
      <c r="A862" s="83"/>
      <c r="B862" s="84"/>
      <c r="C862" s="85"/>
      <c r="D862" s="93"/>
      <c r="E862" s="85"/>
      <c r="F862" s="88"/>
      <c r="G862" s="89"/>
      <c r="H862" s="89"/>
      <c r="I862" s="89"/>
      <c r="J862" s="89"/>
      <c r="K862" s="90"/>
      <c r="L862" s="91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92"/>
      <c r="AD862" s="2"/>
      <c r="AE862" s="2"/>
      <c r="AF862" s="2"/>
      <c r="AG862" s="2"/>
      <c r="AH862" s="2"/>
      <c r="AI862" s="2"/>
      <c r="AJ862" s="2"/>
      <c r="AK862" s="2"/>
      <c r="AL862" s="54"/>
      <c r="AM862" s="54"/>
      <c r="AN862" s="54"/>
      <c r="AO862" s="54"/>
    </row>
    <row r="863" customFormat="false" ht="11.25" hidden="false" customHeight="true" outlineLevel="0" collapsed="false">
      <c r="A863" s="83"/>
      <c r="B863" s="84"/>
      <c r="C863" s="85"/>
      <c r="D863" s="93"/>
      <c r="E863" s="85"/>
      <c r="F863" s="88"/>
      <c r="G863" s="89"/>
      <c r="H863" s="89"/>
      <c r="I863" s="89"/>
      <c r="J863" s="89"/>
      <c r="K863" s="90"/>
      <c r="L863" s="91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92"/>
      <c r="AD863" s="2"/>
      <c r="AE863" s="2"/>
      <c r="AF863" s="2"/>
      <c r="AG863" s="2"/>
      <c r="AH863" s="2"/>
      <c r="AI863" s="2"/>
      <c r="AJ863" s="2"/>
      <c r="AK863" s="2"/>
      <c r="AL863" s="54"/>
      <c r="AM863" s="54"/>
      <c r="AN863" s="54"/>
      <c r="AO863" s="54"/>
    </row>
    <row r="864" customFormat="false" ht="11.25" hidden="false" customHeight="true" outlineLevel="0" collapsed="false">
      <c r="A864" s="83"/>
      <c r="B864" s="84"/>
      <c r="C864" s="85"/>
      <c r="D864" s="93"/>
      <c r="E864" s="85"/>
      <c r="F864" s="88"/>
      <c r="G864" s="89"/>
      <c r="H864" s="89"/>
      <c r="I864" s="89"/>
      <c r="J864" s="89"/>
      <c r="K864" s="90"/>
      <c r="L864" s="91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92"/>
      <c r="AD864" s="2"/>
      <c r="AE864" s="2"/>
      <c r="AF864" s="2"/>
      <c r="AG864" s="2"/>
      <c r="AH864" s="2"/>
      <c r="AI864" s="2"/>
      <c r="AJ864" s="2"/>
      <c r="AK864" s="2"/>
      <c r="AL864" s="54"/>
      <c r="AM864" s="54"/>
      <c r="AN864" s="54"/>
      <c r="AO864" s="54"/>
    </row>
    <row r="865" customFormat="false" ht="11.25" hidden="false" customHeight="true" outlineLevel="0" collapsed="false">
      <c r="A865" s="83"/>
      <c r="B865" s="84"/>
      <c r="C865" s="85"/>
      <c r="D865" s="93"/>
      <c r="E865" s="85"/>
      <c r="F865" s="88"/>
      <c r="G865" s="89"/>
      <c r="H865" s="89"/>
      <c r="I865" s="89"/>
      <c r="J865" s="89"/>
      <c r="K865" s="90"/>
      <c r="L865" s="91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92"/>
      <c r="AD865" s="2"/>
      <c r="AE865" s="2"/>
      <c r="AF865" s="2"/>
      <c r="AG865" s="2"/>
      <c r="AH865" s="2"/>
      <c r="AI865" s="2"/>
      <c r="AJ865" s="2"/>
      <c r="AK865" s="2"/>
      <c r="AL865" s="54"/>
      <c r="AM865" s="54"/>
      <c r="AN865" s="54"/>
      <c r="AO865" s="54"/>
    </row>
    <row r="866" customFormat="false" ht="11.25" hidden="false" customHeight="true" outlineLevel="0" collapsed="false">
      <c r="A866" s="83"/>
      <c r="B866" s="84"/>
      <c r="C866" s="85"/>
      <c r="D866" s="93"/>
      <c r="E866" s="85"/>
      <c r="F866" s="88"/>
      <c r="G866" s="89"/>
      <c r="H866" s="89"/>
      <c r="I866" s="89"/>
      <c r="J866" s="89"/>
      <c r="K866" s="90"/>
      <c r="L866" s="91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92"/>
      <c r="AD866" s="2"/>
      <c r="AE866" s="2"/>
      <c r="AF866" s="2"/>
      <c r="AG866" s="2"/>
      <c r="AH866" s="2"/>
      <c r="AI866" s="2"/>
      <c r="AJ866" s="2"/>
      <c r="AK866" s="2"/>
      <c r="AL866" s="54"/>
      <c r="AM866" s="54"/>
      <c r="AN866" s="54"/>
      <c r="AO866" s="54"/>
    </row>
    <row r="867" customFormat="false" ht="11.25" hidden="false" customHeight="true" outlineLevel="0" collapsed="false">
      <c r="A867" s="83"/>
      <c r="B867" s="84"/>
      <c r="C867" s="85"/>
      <c r="D867" s="93"/>
      <c r="E867" s="85"/>
      <c r="F867" s="88"/>
      <c r="G867" s="89"/>
      <c r="H867" s="89"/>
      <c r="I867" s="89"/>
      <c r="J867" s="89"/>
      <c r="K867" s="90"/>
      <c r="L867" s="91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92"/>
      <c r="AD867" s="2"/>
      <c r="AE867" s="2"/>
      <c r="AF867" s="2"/>
      <c r="AG867" s="2"/>
      <c r="AH867" s="2"/>
      <c r="AI867" s="2"/>
      <c r="AJ867" s="2"/>
      <c r="AK867" s="2"/>
      <c r="AL867" s="54"/>
      <c r="AM867" s="54"/>
      <c r="AN867" s="54"/>
      <c r="AO867" s="54"/>
    </row>
    <row r="868" customFormat="false" ht="11.25" hidden="false" customHeight="true" outlineLevel="0" collapsed="false">
      <c r="A868" s="83"/>
      <c r="B868" s="84"/>
      <c r="C868" s="85"/>
      <c r="D868" s="93"/>
      <c r="E868" s="85"/>
      <c r="F868" s="88"/>
      <c r="G868" s="89"/>
      <c r="H868" s="89"/>
      <c r="I868" s="89"/>
      <c r="J868" s="89"/>
      <c r="K868" s="90"/>
      <c r="L868" s="91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92"/>
      <c r="AD868" s="2"/>
      <c r="AE868" s="2"/>
      <c r="AF868" s="2"/>
      <c r="AG868" s="2"/>
      <c r="AH868" s="2"/>
      <c r="AI868" s="2"/>
      <c r="AJ868" s="2"/>
      <c r="AK868" s="2"/>
      <c r="AL868" s="54"/>
      <c r="AM868" s="54"/>
      <c r="AN868" s="54"/>
      <c r="AO868" s="54"/>
    </row>
    <row r="869" customFormat="false" ht="11.25" hidden="false" customHeight="true" outlineLevel="0" collapsed="false">
      <c r="A869" s="83"/>
      <c r="B869" s="84"/>
      <c r="C869" s="85"/>
      <c r="D869" s="93"/>
      <c r="E869" s="85"/>
      <c r="F869" s="88"/>
      <c r="G869" s="89"/>
      <c r="H869" s="89"/>
      <c r="I869" s="89"/>
      <c r="J869" s="89"/>
      <c r="K869" s="90"/>
      <c r="L869" s="91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92"/>
      <c r="AD869" s="2"/>
      <c r="AE869" s="2"/>
      <c r="AF869" s="2"/>
      <c r="AG869" s="2"/>
      <c r="AH869" s="2"/>
      <c r="AI869" s="2"/>
      <c r="AJ869" s="2"/>
      <c r="AK869" s="2"/>
      <c r="AL869" s="54"/>
      <c r="AM869" s="54"/>
      <c r="AN869" s="54"/>
      <c r="AO869" s="54"/>
    </row>
    <row r="870" customFormat="false" ht="11.25" hidden="false" customHeight="true" outlineLevel="0" collapsed="false">
      <c r="A870" s="83"/>
      <c r="B870" s="84"/>
      <c r="C870" s="85"/>
      <c r="D870" s="93"/>
      <c r="E870" s="85"/>
      <c r="F870" s="88"/>
      <c r="G870" s="89"/>
      <c r="H870" s="89"/>
      <c r="I870" s="89"/>
      <c r="J870" s="89"/>
      <c r="K870" s="90"/>
      <c r="L870" s="91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92"/>
      <c r="AD870" s="2"/>
      <c r="AE870" s="2"/>
      <c r="AF870" s="2"/>
      <c r="AG870" s="2"/>
      <c r="AH870" s="2"/>
      <c r="AI870" s="2"/>
      <c r="AJ870" s="2"/>
      <c r="AK870" s="2"/>
      <c r="AL870" s="54"/>
      <c r="AM870" s="54"/>
      <c r="AN870" s="54"/>
      <c r="AO870" s="54"/>
    </row>
    <row r="871" customFormat="false" ht="11.25" hidden="false" customHeight="true" outlineLevel="0" collapsed="false">
      <c r="A871" s="83"/>
      <c r="B871" s="84"/>
      <c r="C871" s="85"/>
      <c r="D871" s="93"/>
      <c r="E871" s="85"/>
      <c r="F871" s="88"/>
      <c r="G871" s="89"/>
      <c r="H871" s="89"/>
      <c r="I871" s="89"/>
      <c r="J871" s="89"/>
      <c r="K871" s="90"/>
      <c r="L871" s="91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92"/>
      <c r="AD871" s="2"/>
      <c r="AE871" s="2"/>
      <c r="AF871" s="2"/>
      <c r="AG871" s="2"/>
      <c r="AH871" s="2"/>
      <c r="AI871" s="2"/>
      <c r="AJ871" s="2"/>
      <c r="AK871" s="2"/>
      <c r="AL871" s="54"/>
      <c r="AM871" s="54"/>
      <c r="AN871" s="54"/>
      <c r="AO871" s="54"/>
    </row>
    <row r="872" customFormat="false" ht="11.25" hidden="false" customHeight="true" outlineLevel="0" collapsed="false">
      <c r="A872" s="83"/>
      <c r="B872" s="84"/>
      <c r="C872" s="85"/>
      <c r="D872" s="93"/>
      <c r="E872" s="85"/>
      <c r="F872" s="88"/>
      <c r="G872" s="89"/>
      <c r="H872" s="89"/>
      <c r="I872" s="89"/>
      <c r="J872" s="89"/>
      <c r="K872" s="90"/>
      <c r="L872" s="91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92"/>
      <c r="AD872" s="2"/>
      <c r="AE872" s="2"/>
      <c r="AF872" s="2"/>
      <c r="AG872" s="2"/>
      <c r="AH872" s="2"/>
      <c r="AI872" s="2"/>
      <c r="AJ872" s="2"/>
      <c r="AK872" s="2"/>
      <c r="AL872" s="54"/>
      <c r="AM872" s="54"/>
      <c r="AN872" s="54"/>
      <c r="AO872" s="54"/>
    </row>
    <row r="873" customFormat="false" ht="11.25" hidden="false" customHeight="true" outlineLevel="0" collapsed="false">
      <c r="A873" s="83"/>
      <c r="B873" s="84"/>
      <c r="C873" s="85"/>
      <c r="D873" s="93"/>
      <c r="E873" s="85"/>
      <c r="F873" s="88"/>
      <c r="G873" s="89"/>
      <c r="H873" s="89"/>
      <c r="I873" s="89"/>
      <c r="J873" s="89"/>
      <c r="K873" s="90"/>
      <c r="L873" s="91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92"/>
      <c r="AD873" s="2"/>
      <c r="AE873" s="2"/>
      <c r="AF873" s="2"/>
      <c r="AG873" s="2"/>
      <c r="AH873" s="2"/>
      <c r="AI873" s="2"/>
      <c r="AJ873" s="2"/>
      <c r="AK873" s="2"/>
      <c r="AL873" s="54"/>
      <c r="AM873" s="54"/>
      <c r="AN873" s="54"/>
      <c r="AO873" s="54"/>
    </row>
    <row r="874" customFormat="false" ht="11.25" hidden="false" customHeight="true" outlineLevel="0" collapsed="false">
      <c r="A874" s="83"/>
      <c r="B874" s="84"/>
      <c r="C874" s="85"/>
      <c r="D874" s="93"/>
      <c r="E874" s="85"/>
      <c r="F874" s="88"/>
      <c r="G874" s="89"/>
      <c r="H874" s="89"/>
      <c r="I874" s="89"/>
      <c r="J874" s="89"/>
      <c r="K874" s="90"/>
      <c r="L874" s="91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92"/>
      <c r="AD874" s="2"/>
      <c r="AE874" s="2"/>
      <c r="AF874" s="2"/>
      <c r="AG874" s="2"/>
      <c r="AH874" s="2"/>
      <c r="AI874" s="2"/>
      <c r="AJ874" s="2"/>
      <c r="AK874" s="2"/>
      <c r="AL874" s="54"/>
      <c r="AM874" s="54"/>
      <c r="AN874" s="54"/>
      <c r="AO874" s="54"/>
    </row>
    <row r="875" customFormat="false" ht="11.25" hidden="false" customHeight="true" outlineLevel="0" collapsed="false">
      <c r="A875" s="83"/>
      <c r="B875" s="84"/>
      <c r="C875" s="85"/>
      <c r="D875" s="93"/>
      <c r="E875" s="85"/>
      <c r="F875" s="88"/>
      <c r="G875" s="89"/>
      <c r="H875" s="89"/>
      <c r="I875" s="89"/>
      <c r="J875" s="89"/>
      <c r="K875" s="90"/>
      <c r="L875" s="91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92"/>
      <c r="AD875" s="2"/>
      <c r="AE875" s="2"/>
      <c r="AF875" s="2"/>
      <c r="AG875" s="2"/>
      <c r="AH875" s="2"/>
      <c r="AI875" s="2"/>
      <c r="AJ875" s="2"/>
      <c r="AK875" s="2"/>
      <c r="AL875" s="54"/>
      <c r="AM875" s="54"/>
      <c r="AN875" s="54"/>
      <c r="AO875" s="54"/>
    </row>
    <row r="876" customFormat="false" ht="11.25" hidden="false" customHeight="true" outlineLevel="0" collapsed="false">
      <c r="A876" s="83"/>
      <c r="B876" s="84"/>
      <c r="C876" s="85"/>
      <c r="D876" s="93"/>
      <c r="E876" s="85"/>
      <c r="F876" s="88"/>
      <c r="G876" s="89"/>
      <c r="H876" s="89"/>
      <c r="I876" s="89"/>
      <c r="J876" s="89"/>
      <c r="K876" s="90"/>
      <c r="L876" s="91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92"/>
      <c r="AD876" s="2"/>
      <c r="AE876" s="2"/>
      <c r="AF876" s="2"/>
      <c r="AG876" s="2"/>
      <c r="AH876" s="2"/>
      <c r="AI876" s="2"/>
      <c r="AJ876" s="2"/>
      <c r="AK876" s="2"/>
      <c r="AL876" s="54"/>
      <c r="AM876" s="54"/>
      <c r="AN876" s="54"/>
      <c r="AO876" s="54"/>
    </row>
    <row r="877" customFormat="false" ht="11.25" hidden="false" customHeight="true" outlineLevel="0" collapsed="false">
      <c r="A877" s="83"/>
      <c r="B877" s="84"/>
      <c r="C877" s="85"/>
      <c r="D877" s="93"/>
      <c r="E877" s="85"/>
      <c r="F877" s="88"/>
      <c r="G877" s="89"/>
      <c r="H877" s="89"/>
      <c r="I877" s="89"/>
      <c r="J877" s="89"/>
      <c r="K877" s="90"/>
      <c r="L877" s="91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92"/>
      <c r="AD877" s="2"/>
      <c r="AE877" s="2"/>
      <c r="AF877" s="2"/>
      <c r="AG877" s="2"/>
      <c r="AH877" s="2"/>
      <c r="AI877" s="2"/>
      <c r="AJ877" s="2"/>
      <c r="AK877" s="2"/>
      <c r="AL877" s="54"/>
      <c r="AM877" s="54"/>
      <c r="AN877" s="54"/>
      <c r="AO877" s="54"/>
    </row>
    <row r="878" customFormat="false" ht="11.25" hidden="false" customHeight="true" outlineLevel="0" collapsed="false">
      <c r="A878" s="83"/>
      <c r="B878" s="84"/>
      <c r="C878" s="85"/>
      <c r="D878" s="93"/>
      <c r="E878" s="85"/>
      <c r="F878" s="88"/>
      <c r="G878" s="89"/>
      <c r="H878" s="89"/>
      <c r="I878" s="89"/>
      <c r="J878" s="89"/>
      <c r="K878" s="90"/>
      <c r="L878" s="91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92"/>
      <c r="AD878" s="2"/>
      <c r="AE878" s="2"/>
      <c r="AF878" s="2"/>
      <c r="AG878" s="2"/>
      <c r="AH878" s="2"/>
      <c r="AI878" s="2"/>
      <c r="AJ878" s="2"/>
      <c r="AK878" s="2"/>
      <c r="AL878" s="54"/>
      <c r="AM878" s="54"/>
      <c r="AN878" s="54"/>
      <c r="AO878" s="54"/>
    </row>
    <row r="879" customFormat="false" ht="11.25" hidden="false" customHeight="true" outlineLevel="0" collapsed="false">
      <c r="A879" s="83"/>
      <c r="B879" s="84"/>
      <c r="C879" s="85"/>
      <c r="D879" s="93"/>
      <c r="E879" s="85"/>
      <c r="F879" s="88"/>
      <c r="G879" s="89"/>
      <c r="H879" s="89"/>
      <c r="I879" s="89"/>
      <c r="J879" s="89"/>
      <c r="K879" s="90"/>
      <c r="L879" s="91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92"/>
      <c r="AD879" s="2"/>
      <c r="AE879" s="2"/>
      <c r="AF879" s="2"/>
      <c r="AG879" s="2"/>
      <c r="AH879" s="2"/>
      <c r="AI879" s="2"/>
      <c r="AJ879" s="2"/>
      <c r="AK879" s="2"/>
      <c r="AL879" s="54"/>
      <c r="AM879" s="54"/>
      <c r="AN879" s="54"/>
      <c r="AO879" s="54"/>
    </row>
    <row r="880" customFormat="false" ht="11.25" hidden="false" customHeight="true" outlineLevel="0" collapsed="false">
      <c r="A880" s="83"/>
      <c r="B880" s="84"/>
      <c r="C880" s="85"/>
      <c r="D880" s="93"/>
      <c r="E880" s="85"/>
      <c r="F880" s="88"/>
      <c r="G880" s="89"/>
      <c r="H880" s="89"/>
      <c r="I880" s="89"/>
      <c r="J880" s="89"/>
      <c r="K880" s="90"/>
      <c r="L880" s="91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92"/>
      <c r="AD880" s="2"/>
      <c r="AE880" s="2"/>
      <c r="AF880" s="2"/>
      <c r="AG880" s="2"/>
      <c r="AH880" s="2"/>
      <c r="AI880" s="2"/>
      <c r="AJ880" s="2"/>
      <c r="AK880" s="2"/>
      <c r="AL880" s="54"/>
      <c r="AM880" s="54"/>
      <c r="AN880" s="54"/>
      <c r="AO880" s="54"/>
    </row>
    <row r="881" customFormat="false" ht="11.25" hidden="false" customHeight="true" outlineLevel="0" collapsed="false">
      <c r="A881" s="83"/>
      <c r="B881" s="84"/>
      <c r="C881" s="85"/>
      <c r="D881" s="93"/>
      <c r="E881" s="85"/>
      <c r="F881" s="88"/>
      <c r="G881" s="89"/>
      <c r="H881" s="89"/>
      <c r="I881" s="89"/>
      <c r="J881" s="89"/>
      <c r="K881" s="90"/>
      <c r="L881" s="91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92"/>
      <c r="AD881" s="2"/>
      <c r="AE881" s="2"/>
      <c r="AF881" s="2"/>
      <c r="AG881" s="2"/>
      <c r="AH881" s="2"/>
      <c r="AI881" s="2"/>
      <c r="AJ881" s="2"/>
      <c r="AK881" s="2"/>
      <c r="AL881" s="54"/>
      <c r="AM881" s="54"/>
      <c r="AN881" s="54"/>
      <c r="AO881" s="54"/>
    </row>
    <row r="882" customFormat="false" ht="11.25" hidden="false" customHeight="true" outlineLevel="0" collapsed="false">
      <c r="A882" s="83"/>
      <c r="B882" s="84"/>
      <c r="C882" s="85"/>
      <c r="D882" s="93"/>
      <c r="E882" s="85"/>
      <c r="F882" s="88"/>
      <c r="G882" s="89"/>
      <c r="H882" s="89"/>
      <c r="I882" s="89"/>
      <c r="J882" s="89"/>
      <c r="K882" s="90"/>
      <c r="L882" s="91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92"/>
      <c r="AD882" s="2"/>
      <c r="AE882" s="2"/>
      <c r="AF882" s="2"/>
      <c r="AG882" s="2"/>
      <c r="AH882" s="2"/>
      <c r="AI882" s="2"/>
      <c r="AJ882" s="2"/>
      <c r="AK882" s="2"/>
      <c r="AL882" s="54"/>
      <c r="AM882" s="54"/>
      <c r="AN882" s="54"/>
      <c r="AO882" s="54"/>
    </row>
    <row r="883" customFormat="false" ht="11.25" hidden="false" customHeight="true" outlineLevel="0" collapsed="false">
      <c r="A883" s="83"/>
      <c r="B883" s="84"/>
      <c r="C883" s="85"/>
      <c r="D883" s="93"/>
      <c r="E883" s="85"/>
      <c r="F883" s="88"/>
      <c r="G883" s="89"/>
      <c r="H883" s="89"/>
      <c r="I883" s="89"/>
      <c r="J883" s="89"/>
      <c r="K883" s="90"/>
      <c r="L883" s="91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92"/>
      <c r="AD883" s="2"/>
      <c r="AE883" s="2"/>
      <c r="AF883" s="2"/>
      <c r="AG883" s="2"/>
      <c r="AH883" s="2"/>
      <c r="AI883" s="2"/>
      <c r="AJ883" s="2"/>
      <c r="AK883" s="2"/>
      <c r="AL883" s="54"/>
      <c r="AM883" s="54"/>
      <c r="AN883" s="54"/>
      <c r="AO883" s="54"/>
    </row>
    <row r="884" customFormat="false" ht="11.25" hidden="false" customHeight="true" outlineLevel="0" collapsed="false">
      <c r="A884" s="83"/>
      <c r="B884" s="84"/>
      <c r="C884" s="85"/>
      <c r="D884" s="93"/>
      <c r="E884" s="85"/>
      <c r="F884" s="88"/>
      <c r="G884" s="89"/>
      <c r="H884" s="89"/>
      <c r="I884" s="89"/>
      <c r="J884" s="89"/>
      <c r="K884" s="90"/>
      <c r="L884" s="91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92"/>
      <c r="AD884" s="2"/>
      <c r="AE884" s="2"/>
      <c r="AF884" s="2"/>
      <c r="AG884" s="2"/>
      <c r="AH884" s="2"/>
      <c r="AI884" s="2"/>
      <c r="AJ884" s="2"/>
      <c r="AK884" s="2"/>
      <c r="AL884" s="54"/>
      <c r="AM884" s="54"/>
      <c r="AN884" s="54"/>
      <c r="AO884" s="54"/>
    </row>
    <row r="885" customFormat="false" ht="11.25" hidden="false" customHeight="true" outlineLevel="0" collapsed="false">
      <c r="A885" s="83"/>
      <c r="B885" s="84"/>
      <c r="C885" s="85"/>
      <c r="D885" s="93"/>
      <c r="E885" s="85"/>
      <c r="F885" s="88"/>
      <c r="G885" s="89"/>
      <c r="H885" s="89"/>
      <c r="I885" s="89"/>
      <c r="J885" s="89"/>
      <c r="K885" s="90"/>
      <c r="L885" s="91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92"/>
      <c r="AD885" s="2"/>
      <c r="AE885" s="2"/>
      <c r="AF885" s="2"/>
      <c r="AG885" s="2"/>
      <c r="AH885" s="2"/>
      <c r="AI885" s="2"/>
      <c r="AJ885" s="2"/>
      <c r="AK885" s="2"/>
      <c r="AL885" s="54"/>
      <c r="AM885" s="54"/>
      <c r="AN885" s="54"/>
      <c r="AO885" s="54"/>
    </row>
    <row r="886" customFormat="false" ht="11.25" hidden="false" customHeight="true" outlineLevel="0" collapsed="false">
      <c r="A886" s="83"/>
      <c r="B886" s="84"/>
      <c r="C886" s="85"/>
      <c r="D886" s="93"/>
      <c r="E886" s="85"/>
      <c r="F886" s="88"/>
      <c r="G886" s="89"/>
      <c r="H886" s="89"/>
      <c r="I886" s="89"/>
      <c r="J886" s="89"/>
      <c r="K886" s="90"/>
      <c r="L886" s="91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92"/>
      <c r="AD886" s="2"/>
      <c r="AE886" s="2"/>
      <c r="AF886" s="2"/>
      <c r="AG886" s="2"/>
      <c r="AH886" s="2"/>
      <c r="AI886" s="2"/>
      <c r="AJ886" s="2"/>
      <c r="AK886" s="2"/>
      <c r="AL886" s="54"/>
      <c r="AM886" s="54"/>
      <c r="AN886" s="54"/>
      <c r="AO886" s="54"/>
    </row>
    <row r="887" customFormat="false" ht="11.25" hidden="false" customHeight="true" outlineLevel="0" collapsed="false">
      <c r="A887" s="83"/>
      <c r="B887" s="84"/>
      <c r="C887" s="85"/>
      <c r="D887" s="93"/>
      <c r="E887" s="85"/>
      <c r="F887" s="88"/>
      <c r="G887" s="89"/>
      <c r="H887" s="89"/>
      <c r="I887" s="89"/>
      <c r="J887" s="89"/>
      <c r="K887" s="90"/>
      <c r="L887" s="91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92"/>
      <c r="AD887" s="2"/>
      <c r="AE887" s="2"/>
      <c r="AF887" s="2"/>
      <c r="AG887" s="2"/>
      <c r="AH887" s="2"/>
      <c r="AI887" s="2"/>
      <c r="AJ887" s="2"/>
      <c r="AK887" s="2"/>
      <c r="AL887" s="54"/>
      <c r="AM887" s="54"/>
      <c r="AN887" s="54"/>
      <c r="AO887" s="54"/>
    </row>
    <row r="888" customFormat="false" ht="11.25" hidden="false" customHeight="true" outlineLevel="0" collapsed="false">
      <c r="A888" s="83"/>
      <c r="B888" s="84"/>
      <c r="C888" s="85"/>
      <c r="D888" s="93"/>
      <c r="E888" s="85"/>
      <c r="F888" s="88"/>
      <c r="G888" s="89"/>
      <c r="H888" s="89"/>
      <c r="I888" s="89"/>
      <c r="J888" s="89"/>
      <c r="K888" s="90"/>
      <c r="L888" s="91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92"/>
      <c r="AD888" s="2"/>
      <c r="AE888" s="2"/>
      <c r="AF888" s="2"/>
      <c r="AG888" s="2"/>
      <c r="AH888" s="2"/>
      <c r="AI888" s="2"/>
      <c r="AJ888" s="2"/>
      <c r="AK888" s="2"/>
      <c r="AL888" s="54"/>
      <c r="AM888" s="54"/>
      <c r="AN888" s="54"/>
      <c r="AO888" s="54"/>
    </row>
    <row r="889" customFormat="false" ht="11.25" hidden="false" customHeight="true" outlineLevel="0" collapsed="false">
      <c r="A889" s="83"/>
      <c r="B889" s="84"/>
      <c r="C889" s="85"/>
      <c r="D889" s="93"/>
      <c r="E889" s="85"/>
      <c r="F889" s="88"/>
      <c r="G889" s="89"/>
      <c r="H889" s="89"/>
      <c r="I889" s="89"/>
      <c r="J889" s="89"/>
      <c r="K889" s="90"/>
      <c r="L889" s="91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92"/>
      <c r="AD889" s="2"/>
      <c r="AE889" s="2"/>
      <c r="AF889" s="2"/>
      <c r="AG889" s="2"/>
      <c r="AH889" s="2"/>
      <c r="AI889" s="2"/>
      <c r="AJ889" s="2"/>
      <c r="AK889" s="2"/>
      <c r="AL889" s="54"/>
      <c r="AM889" s="54"/>
      <c r="AN889" s="54"/>
      <c r="AO889" s="54"/>
    </row>
    <row r="890" customFormat="false" ht="11.25" hidden="false" customHeight="true" outlineLevel="0" collapsed="false">
      <c r="A890" s="83"/>
      <c r="B890" s="84"/>
      <c r="C890" s="85"/>
      <c r="D890" s="93"/>
      <c r="E890" s="85"/>
      <c r="F890" s="88"/>
      <c r="G890" s="89"/>
      <c r="H890" s="89"/>
      <c r="I890" s="89"/>
      <c r="J890" s="89"/>
      <c r="K890" s="90"/>
      <c r="L890" s="91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92"/>
      <c r="AD890" s="2"/>
      <c r="AE890" s="2"/>
      <c r="AF890" s="2"/>
      <c r="AG890" s="2"/>
      <c r="AH890" s="2"/>
      <c r="AI890" s="2"/>
      <c r="AJ890" s="2"/>
      <c r="AK890" s="2"/>
      <c r="AL890" s="54"/>
      <c r="AM890" s="54"/>
      <c r="AN890" s="54"/>
      <c r="AO890" s="54"/>
    </row>
    <row r="891" customFormat="false" ht="11.25" hidden="false" customHeight="true" outlineLevel="0" collapsed="false">
      <c r="A891" s="83"/>
      <c r="B891" s="84"/>
      <c r="C891" s="85"/>
      <c r="D891" s="93"/>
      <c r="E891" s="85"/>
      <c r="F891" s="88"/>
      <c r="G891" s="89"/>
      <c r="H891" s="89"/>
      <c r="I891" s="89"/>
      <c r="J891" s="89"/>
      <c r="K891" s="90"/>
      <c r="L891" s="91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92"/>
      <c r="AD891" s="2"/>
      <c r="AE891" s="2"/>
      <c r="AF891" s="2"/>
      <c r="AG891" s="2"/>
      <c r="AH891" s="2"/>
      <c r="AI891" s="2"/>
      <c r="AJ891" s="2"/>
      <c r="AK891" s="2"/>
      <c r="AL891" s="54"/>
      <c r="AM891" s="54"/>
      <c r="AN891" s="54"/>
      <c r="AO891" s="54"/>
    </row>
    <row r="892" customFormat="false" ht="11.25" hidden="false" customHeight="true" outlineLevel="0" collapsed="false">
      <c r="A892" s="83"/>
      <c r="B892" s="84"/>
      <c r="C892" s="85"/>
      <c r="D892" s="93"/>
      <c r="E892" s="85"/>
      <c r="F892" s="88"/>
      <c r="G892" s="89"/>
      <c r="H892" s="89"/>
      <c r="I892" s="89"/>
      <c r="J892" s="89"/>
      <c r="K892" s="90"/>
      <c r="L892" s="91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92"/>
      <c r="AD892" s="2"/>
      <c r="AE892" s="2"/>
      <c r="AF892" s="2"/>
      <c r="AG892" s="2"/>
      <c r="AH892" s="2"/>
      <c r="AI892" s="2"/>
      <c r="AJ892" s="2"/>
      <c r="AK892" s="2"/>
      <c r="AL892" s="54"/>
      <c r="AM892" s="54"/>
      <c r="AN892" s="54"/>
      <c r="AO892" s="54"/>
    </row>
    <row r="893" customFormat="false" ht="11.25" hidden="false" customHeight="true" outlineLevel="0" collapsed="false">
      <c r="A893" s="83"/>
      <c r="B893" s="84"/>
      <c r="C893" s="85"/>
      <c r="D893" s="93"/>
      <c r="E893" s="85"/>
      <c r="F893" s="88"/>
      <c r="G893" s="89"/>
      <c r="H893" s="89"/>
      <c r="I893" s="89"/>
      <c r="J893" s="89"/>
      <c r="K893" s="90"/>
      <c r="L893" s="91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92"/>
      <c r="AD893" s="2"/>
      <c r="AE893" s="2"/>
      <c r="AF893" s="2"/>
      <c r="AG893" s="2"/>
      <c r="AH893" s="2"/>
      <c r="AI893" s="2"/>
      <c r="AJ893" s="2"/>
      <c r="AK893" s="2"/>
      <c r="AL893" s="54"/>
      <c r="AM893" s="54"/>
      <c r="AN893" s="54"/>
      <c r="AO893" s="54"/>
    </row>
    <row r="894" customFormat="false" ht="11.25" hidden="false" customHeight="true" outlineLevel="0" collapsed="false">
      <c r="A894" s="83"/>
      <c r="B894" s="84"/>
      <c r="C894" s="85"/>
      <c r="D894" s="93"/>
      <c r="E894" s="85"/>
      <c r="F894" s="88"/>
      <c r="G894" s="89"/>
      <c r="H894" s="89"/>
      <c r="I894" s="89"/>
      <c r="J894" s="89"/>
      <c r="K894" s="90"/>
      <c r="L894" s="91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92"/>
      <c r="AD894" s="2"/>
      <c r="AE894" s="2"/>
      <c r="AF894" s="2"/>
      <c r="AG894" s="2"/>
      <c r="AH894" s="2"/>
      <c r="AI894" s="2"/>
      <c r="AJ894" s="2"/>
      <c r="AK894" s="2"/>
      <c r="AL894" s="54"/>
      <c r="AM894" s="54"/>
      <c r="AN894" s="54"/>
      <c r="AO894" s="54"/>
    </row>
    <row r="895" customFormat="false" ht="11.25" hidden="false" customHeight="true" outlineLevel="0" collapsed="false">
      <c r="A895" s="83"/>
      <c r="B895" s="84"/>
      <c r="C895" s="85"/>
      <c r="D895" s="93"/>
      <c r="E895" s="85"/>
      <c r="F895" s="88"/>
      <c r="G895" s="89"/>
      <c r="H895" s="89"/>
      <c r="I895" s="89"/>
      <c r="J895" s="89"/>
      <c r="K895" s="90"/>
      <c r="L895" s="91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92"/>
      <c r="AD895" s="2"/>
      <c r="AE895" s="2"/>
      <c r="AF895" s="2"/>
      <c r="AG895" s="2"/>
      <c r="AH895" s="2"/>
      <c r="AI895" s="2"/>
      <c r="AJ895" s="2"/>
      <c r="AK895" s="2"/>
      <c r="AL895" s="54"/>
      <c r="AM895" s="54"/>
      <c r="AN895" s="54"/>
      <c r="AO895" s="54"/>
    </row>
    <row r="896" customFormat="false" ht="11.25" hidden="false" customHeight="true" outlineLevel="0" collapsed="false">
      <c r="A896" s="83"/>
      <c r="B896" s="84"/>
      <c r="C896" s="85"/>
      <c r="D896" s="93"/>
      <c r="E896" s="85"/>
      <c r="F896" s="88"/>
      <c r="G896" s="89"/>
      <c r="H896" s="89"/>
      <c r="I896" s="89"/>
      <c r="J896" s="89"/>
      <c r="K896" s="90"/>
      <c r="L896" s="91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92"/>
      <c r="AD896" s="2"/>
      <c r="AE896" s="2"/>
      <c r="AF896" s="2"/>
      <c r="AG896" s="2"/>
      <c r="AH896" s="2"/>
      <c r="AI896" s="2"/>
      <c r="AJ896" s="2"/>
      <c r="AK896" s="2"/>
      <c r="AL896" s="54"/>
      <c r="AM896" s="54"/>
      <c r="AN896" s="54"/>
      <c r="AO896" s="54"/>
    </row>
    <row r="897" customFormat="false" ht="11.25" hidden="false" customHeight="true" outlineLevel="0" collapsed="false">
      <c r="A897" s="83"/>
      <c r="B897" s="84"/>
      <c r="C897" s="85"/>
      <c r="D897" s="93"/>
      <c r="E897" s="85"/>
      <c r="F897" s="88"/>
      <c r="G897" s="89"/>
      <c r="H897" s="89"/>
      <c r="I897" s="89"/>
      <c r="J897" s="89"/>
      <c r="K897" s="90"/>
      <c r="L897" s="91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92"/>
      <c r="AD897" s="2"/>
      <c r="AE897" s="2"/>
      <c r="AF897" s="2"/>
      <c r="AG897" s="2"/>
      <c r="AH897" s="2"/>
      <c r="AI897" s="2"/>
      <c r="AJ897" s="2"/>
      <c r="AK897" s="2"/>
      <c r="AL897" s="54"/>
      <c r="AM897" s="54"/>
      <c r="AN897" s="54"/>
      <c r="AO897" s="54"/>
    </row>
    <row r="898" customFormat="false" ht="11.25" hidden="false" customHeight="true" outlineLevel="0" collapsed="false">
      <c r="A898" s="83"/>
      <c r="B898" s="84"/>
      <c r="C898" s="85"/>
      <c r="D898" s="93"/>
      <c r="E898" s="85"/>
      <c r="F898" s="88"/>
      <c r="G898" s="89"/>
      <c r="H898" s="89"/>
      <c r="I898" s="89"/>
      <c r="J898" s="89"/>
      <c r="K898" s="90"/>
      <c r="L898" s="91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92"/>
      <c r="AD898" s="2"/>
      <c r="AE898" s="2"/>
      <c r="AF898" s="2"/>
      <c r="AG898" s="2"/>
      <c r="AH898" s="2"/>
      <c r="AI898" s="2"/>
      <c r="AJ898" s="2"/>
      <c r="AK898" s="2"/>
      <c r="AL898" s="54"/>
      <c r="AM898" s="54"/>
      <c r="AN898" s="54"/>
      <c r="AO898" s="54"/>
    </row>
    <row r="899" customFormat="false" ht="11.25" hidden="false" customHeight="true" outlineLevel="0" collapsed="false">
      <c r="A899" s="83"/>
      <c r="B899" s="84"/>
      <c r="C899" s="85"/>
      <c r="D899" s="93"/>
      <c r="E899" s="85"/>
      <c r="F899" s="88"/>
      <c r="G899" s="89"/>
      <c r="H899" s="89"/>
      <c r="I899" s="89"/>
      <c r="J899" s="89"/>
      <c r="K899" s="90"/>
      <c r="L899" s="91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92"/>
      <c r="AD899" s="2"/>
      <c r="AE899" s="2"/>
      <c r="AF899" s="2"/>
      <c r="AG899" s="2"/>
      <c r="AH899" s="2"/>
      <c r="AI899" s="2"/>
      <c r="AJ899" s="2"/>
      <c r="AK899" s="2"/>
      <c r="AL899" s="54"/>
      <c r="AM899" s="54"/>
      <c r="AN899" s="54"/>
      <c r="AO899" s="54"/>
    </row>
    <row r="900" customFormat="false" ht="11.25" hidden="false" customHeight="true" outlineLevel="0" collapsed="false">
      <c r="A900" s="83"/>
      <c r="B900" s="84"/>
      <c r="C900" s="85"/>
      <c r="D900" s="93"/>
      <c r="E900" s="85"/>
      <c r="F900" s="88"/>
      <c r="G900" s="89"/>
      <c r="H900" s="89"/>
      <c r="I900" s="89"/>
      <c r="J900" s="89"/>
      <c r="K900" s="90"/>
      <c r="L900" s="91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92"/>
      <c r="AD900" s="2"/>
      <c r="AE900" s="2"/>
      <c r="AF900" s="2"/>
      <c r="AG900" s="2"/>
      <c r="AH900" s="2"/>
      <c r="AI900" s="2"/>
      <c r="AJ900" s="2"/>
      <c r="AK900" s="2"/>
      <c r="AL900" s="54"/>
      <c r="AM900" s="54"/>
      <c r="AN900" s="54"/>
      <c r="AO900" s="54"/>
    </row>
    <row r="901" customFormat="false" ht="11.25" hidden="false" customHeight="true" outlineLevel="0" collapsed="false">
      <c r="A901" s="83"/>
      <c r="B901" s="84"/>
      <c r="C901" s="85"/>
      <c r="D901" s="93"/>
      <c r="E901" s="85"/>
      <c r="F901" s="88"/>
      <c r="G901" s="89"/>
      <c r="H901" s="89"/>
      <c r="I901" s="89"/>
      <c r="J901" s="89"/>
      <c r="K901" s="90"/>
      <c r="L901" s="91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92"/>
      <c r="AD901" s="2"/>
      <c r="AE901" s="2"/>
      <c r="AF901" s="2"/>
      <c r="AG901" s="2"/>
      <c r="AH901" s="2"/>
      <c r="AI901" s="2"/>
      <c r="AJ901" s="2"/>
      <c r="AK901" s="2"/>
      <c r="AL901" s="54"/>
      <c r="AM901" s="54"/>
      <c r="AN901" s="54"/>
      <c r="AO901" s="54"/>
    </row>
    <row r="902" customFormat="false" ht="11.25" hidden="false" customHeight="true" outlineLevel="0" collapsed="false">
      <c r="A902" s="83"/>
      <c r="B902" s="84"/>
      <c r="C902" s="85"/>
      <c r="D902" s="93"/>
      <c r="E902" s="85"/>
      <c r="F902" s="88"/>
      <c r="G902" s="89"/>
      <c r="H902" s="89"/>
      <c r="I902" s="89"/>
      <c r="J902" s="89"/>
      <c r="K902" s="90"/>
      <c r="L902" s="91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92"/>
      <c r="AD902" s="2"/>
      <c r="AE902" s="2"/>
      <c r="AF902" s="2"/>
      <c r="AG902" s="2"/>
      <c r="AH902" s="2"/>
      <c r="AI902" s="2"/>
      <c r="AJ902" s="2"/>
      <c r="AK902" s="2"/>
      <c r="AL902" s="54"/>
      <c r="AM902" s="54"/>
      <c r="AN902" s="54"/>
      <c r="AO902" s="54"/>
    </row>
    <row r="903" customFormat="false" ht="11.25" hidden="false" customHeight="true" outlineLevel="0" collapsed="false">
      <c r="A903" s="83"/>
      <c r="B903" s="84"/>
      <c r="C903" s="85"/>
      <c r="D903" s="93"/>
      <c r="E903" s="85"/>
      <c r="F903" s="88"/>
      <c r="G903" s="89"/>
      <c r="H903" s="89"/>
      <c r="I903" s="89"/>
      <c r="J903" s="89"/>
      <c r="K903" s="90"/>
      <c r="L903" s="91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92"/>
      <c r="AD903" s="2"/>
      <c r="AE903" s="2"/>
      <c r="AF903" s="2"/>
      <c r="AG903" s="2"/>
      <c r="AH903" s="2"/>
      <c r="AI903" s="2"/>
      <c r="AJ903" s="2"/>
      <c r="AK903" s="2"/>
      <c r="AL903" s="54"/>
      <c r="AM903" s="54"/>
      <c r="AN903" s="54"/>
      <c r="AO903" s="54"/>
    </row>
    <row r="904" customFormat="false" ht="11.25" hidden="false" customHeight="true" outlineLevel="0" collapsed="false">
      <c r="A904" s="83"/>
      <c r="B904" s="84"/>
      <c r="C904" s="85"/>
      <c r="D904" s="93"/>
      <c r="E904" s="85"/>
      <c r="F904" s="88"/>
      <c r="G904" s="89"/>
      <c r="H904" s="89"/>
      <c r="I904" s="89"/>
      <c r="J904" s="89"/>
      <c r="K904" s="90"/>
      <c r="L904" s="91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92"/>
      <c r="AD904" s="2"/>
      <c r="AE904" s="2"/>
      <c r="AF904" s="2"/>
      <c r="AG904" s="2"/>
      <c r="AH904" s="2"/>
      <c r="AI904" s="2"/>
      <c r="AJ904" s="2"/>
      <c r="AK904" s="2"/>
      <c r="AL904" s="54"/>
      <c r="AM904" s="54"/>
      <c r="AN904" s="54"/>
      <c r="AO904" s="54"/>
    </row>
    <row r="905" customFormat="false" ht="11.25" hidden="false" customHeight="true" outlineLevel="0" collapsed="false">
      <c r="A905" s="83"/>
      <c r="B905" s="84"/>
      <c r="C905" s="85"/>
      <c r="D905" s="93"/>
      <c r="E905" s="85"/>
      <c r="F905" s="88"/>
      <c r="G905" s="89"/>
      <c r="H905" s="89"/>
      <c r="I905" s="89"/>
      <c r="J905" s="89"/>
      <c r="K905" s="90"/>
      <c r="L905" s="91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92"/>
      <c r="AD905" s="2"/>
      <c r="AE905" s="2"/>
      <c r="AF905" s="2"/>
      <c r="AG905" s="2"/>
      <c r="AH905" s="2"/>
      <c r="AI905" s="2"/>
      <c r="AJ905" s="2"/>
      <c r="AK905" s="2"/>
      <c r="AL905" s="54"/>
      <c r="AM905" s="54"/>
      <c r="AN905" s="54"/>
      <c r="AO905" s="54"/>
    </row>
    <row r="906" customFormat="false" ht="11.25" hidden="false" customHeight="true" outlineLevel="0" collapsed="false">
      <c r="A906" s="83"/>
      <c r="B906" s="84"/>
      <c r="C906" s="85"/>
      <c r="D906" s="93"/>
      <c r="E906" s="85"/>
      <c r="F906" s="88"/>
      <c r="G906" s="89"/>
      <c r="H906" s="89"/>
      <c r="I906" s="89"/>
      <c r="J906" s="89"/>
      <c r="K906" s="90"/>
      <c r="L906" s="91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92"/>
      <c r="AD906" s="2"/>
      <c r="AE906" s="2"/>
      <c r="AF906" s="2"/>
      <c r="AG906" s="2"/>
      <c r="AH906" s="2"/>
      <c r="AI906" s="2"/>
      <c r="AJ906" s="2"/>
      <c r="AK906" s="2"/>
      <c r="AL906" s="54"/>
      <c r="AM906" s="54"/>
      <c r="AN906" s="54"/>
      <c r="AO906" s="54"/>
    </row>
    <row r="907" customFormat="false" ht="11.25" hidden="false" customHeight="true" outlineLevel="0" collapsed="false">
      <c r="A907" s="83"/>
      <c r="B907" s="84"/>
      <c r="C907" s="85"/>
      <c r="D907" s="93"/>
      <c r="E907" s="85"/>
      <c r="F907" s="88"/>
      <c r="G907" s="89"/>
      <c r="H907" s="89"/>
      <c r="I907" s="89"/>
      <c r="J907" s="89"/>
      <c r="K907" s="90"/>
      <c r="L907" s="91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92"/>
      <c r="AD907" s="2"/>
      <c r="AE907" s="2"/>
      <c r="AF907" s="2"/>
      <c r="AG907" s="2"/>
      <c r="AH907" s="2"/>
      <c r="AI907" s="2"/>
      <c r="AJ907" s="2"/>
      <c r="AK907" s="2"/>
      <c r="AL907" s="54"/>
      <c r="AM907" s="54"/>
      <c r="AN907" s="54"/>
      <c r="AO907" s="54"/>
    </row>
    <row r="908" customFormat="false" ht="11.25" hidden="false" customHeight="true" outlineLevel="0" collapsed="false">
      <c r="A908" s="83"/>
      <c r="B908" s="84"/>
      <c r="C908" s="85"/>
      <c r="D908" s="93"/>
      <c r="E908" s="85"/>
      <c r="F908" s="88"/>
      <c r="G908" s="89"/>
      <c r="H908" s="89"/>
      <c r="I908" s="89"/>
      <c r="J908" s="89"/>
      <c r="K908" s="90"/>
      <c r="L908" s="91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92"/>
      <c r="AD908" s="2"/>
      <c r="AE908" s="2"/>
      <c r="AF908" s="2"/>
      <c r="AG908" s="2"/>
      <c r="AH908" s="2"/>
      <c r="AI908" s="2"/>
      <c r="AJ908" s="2"/>
      <c r="AK908" s="2"/>
      <c r="AL908" s="54"/>
      <c r="AM908" s="54"/>
      <c r="AN908" s="54"/>
      <c r="AO908" s="54"/>
    </row>
    <row r="909" customFormat="false" ht="11.25" hidden="false" customHeight="true" outlineLevel="0" collapsed="false">
      <c r="A909" s="83"/>
      <c r="B909" s="84"/>
      <c r="C909" s="85"/>
      <c r="D909" s="93"/>
      <c r="E909" s="85"/>
      <c r="F909" s="88"/>
      <c r="G909" s="89"/>
      <c r="H909" s="89"/>
      <c r="I909" s="89"/>
      <c r="J909" s="89"/>
      <c r="K909" s="90"/>
      <c r="L909" s="91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92"/>
      <c r="AD909" s="2"/>
      <c r="AE909" s="2"/>
      <c r="AF909" s="2"/>
      <c r="AG909" s="2"/>
      <c r="AH909" s="2"/>
      <c r="AI909" s="2"/>
      <c r="AJ909" s="2"/>
      <c r="AK909" s="2"/>
      <c r="AL909" s="54"/>
      <c r="AM909" s="54"/>
      <c r="AN909" s="54"/>
      <c r="AO909" s="54"/>
    </row>
    <row r="910" customFormat="false" ht="11.25" hidden="false" customHeight="true" outlineLevel="0" collapsed="false">
      <c r="A910" s="83"/>
      <c r="B910" s="84"/>
      <c r="C910" s="85"/>
      <c r="D910" s="93"/>
      <c r="E910" s="85"/>
      <c r="F910" s="88"/>
      <c r="G910" s="89"/>
      <c r="H910" s="89"/>
      <c r="I910" s="89"/>
      <c r="J910" s="89"/>
      <c r="K910" s="90"/>
      <c r="L910" s="91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92"/>
      <c r="AD910" s="2"/>
      <c r="AE910" s="2"/>
      <c r="AF910" s="2"/>
      <c r="AG910" s="2"/>
      <c r="AH910" s="2"/>
      <c r="AI910" s="2"/>
      <c r="AJ910" s="2"/>
      <c r="AK910" s="2"/>
      <c r="AL910" s="54"/>
      <c r="AM910" s="54"/>
      <c r="AN910" s="54"/>
      <c r="AO910" s="54"/>
    </row>
    <row r="911" customFormat="false" ht="11.25" hidden="false" customHeight="true" outlineLevel="0" collapsed="false">
      <c r="A911" s="83"/>
      <c r="B911" s="84"/>
      <c r="C911" s="85"/>
      <c r="D911" s="93"/>
      <c r="E911" s="85"/>
      <c r="F911" s="88"/>
      <c r="G911" s="89"/>
      <c r="H911" s="89"/>
      <c r="I911" s="89"/>
      <c r="J911" s="89"/>
      <c r="K911" s="90"/>
      <c r="L911" s="91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92"/>
      <c r="AD911" s="2"/>
      <c r="AE911" s="2"/>
      <c r="AF911" s="2"/>
      <c r="AG911" s="2"/>
      <c r="AH911" s="2"/>
      <c r="AI911" s="2"/>
      <c r="AJ911" s="2"/>
      <c r="AK911" s="2"/>
      <c r="AL911" s="54"/>
      <c r="AM911" s="54"/>
      <c r="AN911" s="54"/>
      <c r="AO911" s="54"/>
    </row>
    <row r="912" customFormat="false" ht="11.25" hidden="false" customHeight="true" outlineLevel="0" collapsed="false">
      <c r="A912" s="83"/>
      <c r="B912" s="84"/>
      <c r="C912" s="85"/>
      <c r="D912" s="93"/>
      <c r="E912" s="85"/>
      <c r="F912" s="88"/>
      <c r="G912" s="89"/>
      <c r="H912" s="89"/>
      <c r="I912" s="89"/>
      <c r="J912" s="89"/>
      <c r="K912" s="90"/>
      <c r="L912" s="91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92"/>
      <c r="AD912" s="2"/>
      <c r="AE912" s="2"/>
      <c r="AF912" s="2"/>
      <c r="AG912" s="2"/>
      <c r="AH912" s="2"/>
      <c r="AI912" s="2"/>
      <c r="AJ912" s="2"/>
      <c r="AK912" s="2"/>
      <c r="AL912" s="54"/>
      <c r="AM912" s="54"/>
      <c r="AN912" s="54"/>
      <c r="AO912" s="54"/>
    </row>
    <row r="913" customFormat="false" ht="11.25" hidden="false" customHeight="true" outlineLevel="0" collapsed="false">
      <c r="A913" s="83"/>
      <c r="B913" s="84"/>
      <c r="C913" s="85"/>
      <c r="D913" s="93"/>
      <c r="E913" s="85"/>
      <c r="F913" s="88"/>
      <c r="G913" s="89"/>
      <c r="H913" s="89"/>
      <c r="I913" s="89"/>
      <c r="J913" s="89"/>
      <c r="K913" s="90"/>
      <c r="L913" s="91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92"/>
      <c r="AD913" s="2"/>
      <c r="AE913" s="2"/>
      <c r="AF913" s="2"/>
      <c r="AG913" s="2"/>
      <c r="AH913" s="2"/>
      <c r="AI913" s="2"/>
      <c r="AJ913" s="2"/>
      <c r="AK913" s="2"/>
      <c r="AL913" s="54"/>
      <c r="AM913" s="54"/>
      <c r="AN913" s="54"/>
      <c r="AO913" s="54"/>
    </row>
    <row r="914" customFormat="false" ht="11.25" hidden="false" customHeight="true" outlineLevel="0" collapsed="false">
      <c r="A914" s="83"/>
      <c r="B914" s="84"/>
      <c r="C914" s="85"/>
      <c r="D914" s="93"/>
      <c r="E914" s="85"/>
      <c r="F914" s="88"/>
      <c r="G914" s="89"/>
      <c r="H914" s="89"/>
      <c r="I914" s="89"/>
      <c r="J914" s="89"/>
      <c r="K914" s="90"/>
      <c r="L914" s="91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92"/>
      <c r="AD914" s="2"/>
      <c r="AE914" s="2"/>
      <c r="AF914" s="2"/>
      <c r="AG914" s="2"/>
      <c r="AH914" s="2"/>
      <c r="AI914" s="2"/>
      <c r="AJ914" s="2"/>
      <c r="AK914" s="2"/>
      <c r="AL914" s="54"/>
      <c r="AM914" s="54"/>
      <c r="AN914" s="54"/>
      <c r="AO914" s="54"/>
    </row>
    <row r="915" customFormat="false" ht="11.25" hidden="false" customHeight="true" outlineLevel="0" collapsed="false">
      <c r="A915" s="83"/>
      <c r="B915" s="84"/>
      <c r="C915" s="85"/>
      <c r="D915" s="93"/>
      <c r="E915" s="85"/>
      <c r="F915" s="88"/>
      <c r="G915" s="89"/>
      <c r="H915" s="89"/>
      <c r="I915" s="89"/>
      <c r="J915" s="89"/>
      <c r="K915" s="90"/>
      <c r="L915" s="91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92"/>
      <c r="AD915" s="2"/>
      <c r="AE915" s="2"/>
      <c r="AF915" s="2"/>
      <c r="AG915" s="2"/>
      <c r="AH915" s="2"/>
      <c r="AI915" s="2"/>
      <c r="AJ915" s="2"/>
      <c r="AK915" s="2"/>
      <c r="AL915" s="54"/>
      <c r="AM915" s="54"/>
      <c r="AN915" s="54"/>
      <c r="AO915" s="54"/>
    </row>
    <row r="916" customFormat="false" ht="11.25" hidden="false" customHeight="true" outlineLevel="0" collapsed="false">
      <c r="A916" s="83"/>
      <c r="B916" s="84"/>
      <c r="C916" s="85"/>
      <c r="D916" s="93"/>
      <c r="E916" s="85"/>
      <c r="F916" s="88"/>
      <c r="G916" s="89"/>
      <c r="H916" s="89"/>
      <c r="I916" s="89"/>
      <c r="J916" s="89"/>
      <c r="K916" s="90"/>
      <c r="L916" s="91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92"/>
      <c r="AD916" s="2"/>
      <c r="AE916" s="2"/>
      <c r="AF916" s="2"/>
      <c r="AG916" s="2"/>
      <c r="AH916" s="2"/>
      <c r="AI916" s="2"/>
      <c r="AJ916" s="2"/>
      <c r="AK916" s="2"/>
      <c r="AL916" s="54"/>
      <c r="AM916" s="54"/>
      <c r="AN916" s="54"/>
      <c r="AO916" s="54"/>
    </row>
    <row r="917" customFormat="false" ht="11.25" hidden="false" customHeight="true" outlineLevel="0" collapsed="false">
      <c r="A917" s="83"/>
      <c r="B917" s="84"/>
      <c r="C917" s="85"/>
      <c r="D917" s="93"/>
      <c r="E917" s="85"/>
      <c r="F917" s="88"/>
      <c r="G917" s="89"/>
      <c r="H917" s="89"/>
      <c r="I917" s="89"/>
      <c r="J917" s="89"/>
      <c r="K917" s="90"/>
      <c r="L917" s="91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92"/>
      <c r="AD917" s="2"/>
      <c r="AE917" s="2"/>
      <c r="AF917" s="2"/>
      <c r="AG917" s="2"/>
      <c r="AH917" s="2"/>
      <c r="AI917" s="2"/>
      <c r="AJ917" s="2"/>
      <c r="AK917" s="2"/>
      <c r="AL917" s="54"/>
      <c r="AM917" s="54"/>
      <c r="AN917" s="54"/>
      <c r="AO917" s="54"/>
    </row>
    <row r="918" customFormat="false" ht="11.25" hidden="false" customHeight="true" outlineLevel="0" collapsed="false">
      <c r="A918" s="83"/>
      <c r="B918" s="84"/>
      <c r="C918" s="85"/>
      <c r="D918" s="93"/>
      <c r="E918" s="85"/>
      <c r="F918" s="88"/>
      <c r="G918" s="89"/>
      <c r="H918" s="89"/>
      <c r="I918" s="89"/>
      <c r="J918" s="89"/>
      <c r="K918" s="90"/>
      <c r="L918" s="91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92"/>
      <c r="AD918" s="2"/>
      <c r="AE918" s="2"/>
      <c r="AF918" s="2"/>
      <c r="AG918" s="2"/>
      <c r="AH918" s="2"/>
      <c r="AI918" s="2"/>
      <c r="AJ918" s="2"/>
      <c r="AK918" s="2"/>
      <c r="AL918" s="54"/>
      <c r="AM918" s="54"/>
      <c r="AN918" s="54"/>
      <c r="AO918" s="54"/>
    </row>
    <row r="919" customFormat="false" ht="11.25" hidden="false" customHeight="true" outlineLevel="0" collapsed="false">
      <c r="A919" s="83"/>
      <c r="B919" s="84"/>
      <c r="C919" s="85"/>
      <c r="D919" s="93"/>
      <c r="E919" s="85"/>
      <c r="F919" s="88"/>
      <c r="G919" s="89"/>
      <c r="H919" s="89"/>
      <c r="I919" s="89"/>
      <c r="J919" s="89"/>
      <c r="K919" s="90"/>
      <c r="L919" s="91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92"/>
      <c r="AD919" s="2"/>
      <c r="AE919" s="2"/>
      <c r="AF919" s="2"/>
      <c r="AG919" s="2"/>
      <c r="AH919" s="2"/>
      <c r="AI919" s="2"/>
      <c r="AJ919" s="2"/>
      <c r="AK919" s="2"/>
      <c r="AL919" s="54"/>
      <c r="AM919" s="54"/>
      <c r="AN919" s="54"/>
      <c r="AO919" s="54"/>
    </row>
    <row r="920" customFormat="false" ht="11.25" hidden="false" customHeight="true" outlineLevel="0" collapsed="false">
      <c r="A920" s="83"/>
      <c r="B920" s="84"/>
      <c r="C920" s="85"/>
      <c r="D920" s="93"/>
      <c r="E920" s="85"/>
      <c r="F920" s="88"/>
      <c r="G920" s="89"/>
      <c r="H920" s="89"/>
      <c r="I920" s="89"/>
      <c r="J920" s="89"/>
      <c r="K920" s="90"/>
      <c r="L920" s="91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92"/>
      <c r="AD920" s="2"/>
      <c r="AE920" s="2"/>
      <c r="AF920" s="2"/>
      <c r="AG920" s="2"/>
      <c r="AH920" s="2"/>
      <c r="AI920" s="2"/>
      <c r="AJ920" s="2"/>
      <c r="AK920" s="2"/>
      <c r="AL920" s="54"/>
      <c r="AM920" s="54"/>
      <c r="AN920" s="54"/>
      <c r="AO920" s="54"/>
    </row>
    <row r="921" customFormat="false" ht="11.25" hidden="false" customHeight="true" outlineLevel="0" collapsed="false">
      <c r="A921" s="83"/>
      <c r="B921" s="84"/>
      <c r="C921" s="85"/>
      <c r="D921" s="93"/>
      <c r="E921" s="85"/>
      <c r="F921" s="88"/>
      <c r="G921" s="89"/>
      <c r="H921" s="89"/>
      <c r="I921" s="89"/>
      <c r="J921" s="89"/>
      <c r="K921" s="90"/>
      <c r="L921" s="91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92"/>
      <c r="AD921" s="2"/>
      <c r="AE921" s="2"/>
      <c r="AF921" s="2"/>
      <c r="AG921" s="2"/>
      <c r="AH921" s="2"/>
      <c r="AI921" s="2"/>
      <c r="AJ921" s="2"/>
      <c r="AK921" s="2"/>
      <c r="AL921" s="54"/>
      <c r="AM921" s="54"/>
      <c r="AN921" s="54"/>
      <c r="AO921" s="54"/>
    </row>
    <row r="922" customFormat="false" ht="11.25" hidden="false" customHeight="true" outlineLevel="0" collapsed="false">
      <c r="A922" s="83"/>
      <c r="B922" s="84"/>
      <c r="C922" s="85"/>
      <c r="D922" s="93"/>
      <c r="E922" s="85"/>
      <c r="F922" s="88"/>
      <c r="G922" s="89"/>
      <c r="H922" s="89"/>
      <c r="I922" s="89"/>
      <c r="J922" s="89"/>
      <c r="K922" s="90"/>
      <c r="L922" s="91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92"/>
      <c r="AD922" s="2"/>
      <c r="AE922" s="2"/>
      <c r="AF922" s="2"/>
      <c r="AG922" s="2"/>
      <c r="AH922" s="2"/>
      <c r="AI922" s="2"/>
      <c r="AJ922" s="2"/>
      <c r="AK922" s="2"/>
      <c r="AL922" s="54"/>
      <c r="AM922" s="54"/>
      <c r="AN922" s="54"/>
      <c r="AO922" s="54"/>
    </row>
    <row r="923" customFormat="false" ht="11.25" hidden="false" customHeight="true" outlineLevel="0" collapsed="false">
      <c r="A923" s="83"/>
      <c r="B923" s="84"/>
      <c r="C923" s="85"/>
      <c r="D923" s="93"/>
      <c r="E923" s="85"/>
      <c r="F923" s="88"/>
      <c r="G923" s="89"/>
      <c r="H923" s="89"/>
      <c r="I923" s="89"/>
      <c r="J923" s="89"/>
      <c r="K923" s="90"/>
      <c r="L923" s="91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92"/>
      <c r="AD923" s="2"/>
      <c r="AE923" s="2"/>
      <c r="AF923" s="2"/>
      <c r="AG923" s="2"/>
      <c r="AH923" s="2"/>
      <c r="AI923" s="2"/>
      <c r="AJ923" s="2"/>
      <c r="AK923" s="2"/>
      <c r="AL923" s="54"/>
      <c r="AM923" s="54"/>
      <c r="AN923" s="54"/>
      <c r="AO923" s="54"/>
    </row>
    <row r="924" customFormat="false" ht="11.25" hidden="false" customHeight="true" outlineLevel="0" collapsed="false">
      <c r="A924" s="83"/>
      <c r="B924" s="84"/>
      <c r="C924" s="85"/>
      <c r="D924" s="93"/>
      <c r="E924" s="85"/>
      <c r="F924" s="88"/>
      <c r="G924" s="89"/>
      <c r="H924" s="89"/>
      <c r="I924" s="89"/>
      <c r="J924" s="89"/>
      <c r="K924" s="90"/>
      <c r="L924" s="91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92"/>
      <c r="AD924" s="2"/>
      <c r="AE924" s="2"/>
      <c r="AF924" s="2"/>
      <c r="AG924" s="2"/>
      <c r="AH924" s="2"/>
      <c r="AI924" s="2"/>
      <c r="AJ924" s="2"/>
      <c r="AK924" s="2"/>
      <c r="AL924" s="54"/>
      <c r="AM924" s="54"/>
      <c r="AN924" s="54"/>
      <c r="AO924" s="54"/>
    </row>
    <row r="925" customFormat="false" ht="11.25" hidden="false" customHeight="true" outlineLevel="0" collapsed="false">
      <c r="A925" s="83"/>
      <c r="B925" s="84"/>
      <c r="C925" s="85"/>
      <c r="D925" s="93"/>
      <c r="E925" s="85"/>
      <c r="F925" s="88"/>
      <c r="G925" s="89"/>
      <c r="H925" s="89"/>
      <c r="I925" s="89"/>
      <c r="J925" s="89"/>
      <c r="K925" s="90"/>
      <c r="L925" s="91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92"/>
      <c r="AD925" s="2"/>
      <c r="AE925" s="2"/>
      <c r="AF925" s="2"/>
      <c r="AG925" s="2"/>
      <c r="AH925" s="2"/>
      <c r="AI925" s="2"/>
      <c r="AJ925" s="2"/>
      <c r="AK925" s="2"/>
      <c r="AL925" s="54"/>
      <c r="AM925" s="54"/>
      <c r="AN925" s="54"/>
      <c r="AO925" s="54"/>
    </row>
    <row r="926" customFormat="false" ht="11.25" hidden="false" customHeight="true" outlineLevel="0" collapsed="false">
      <c r="A926" s="83"/>
      <c r="B926" s="84"/>
      <c r="C926" s="85"/>
      <c r="D926" s="93"/>
      <c r="E926" s="85"/>
      <c r="F926" s="88"/>
      <c r="G926" s="89"/>
      <c r="H926" s="89"/>
      <c r="I926" s="89"/>
      <c r="J926" s="89"/>
      <c r="K926" s="90"/>
      <c r="L926" s="91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92"/>
      <c r="AD926" s="2"/>
      <c r="AE926" s="2"/>
      <c r="AF926" s="2"/>
      <c r="AG926" s="2"/>
      <c r="AH926" s="2"/>
      <c r="AI926" s="2"/>
      <c r="AJ926" s="2"/>
      <c r="AK926" s="2"/>
      <c r="AL926" s="54"/>
      <c r="AM926" s="54"/>
      <c r="AN926" s="54"/>
      <c r="AO926" s="54"/>
    </row>
    <row r="927" customFormat="false" ht="11.25" hidden="false" customHeight="true" outlineLevel="0" collapsed="false">
      <c r="A927" s="83"/>
      <c r="B927" s="84"/>
      <c r="C927" s="85"/>
      <c r="D927" s="93"/>
      <c r="E927" s="85"/>
      <c r="F927" s="88"/>
      <c r="G927" s="89"/>
      <c r="H927" s="89"/>
      <c r="I927" s="89"/>
      <c r="J927" s="89"/>
      <c r="K927" s="90"/>
      <c r="L927" s="91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92"/>
      <c r="AD927" s="2"/>
      <c r="AE927" s="2"/>
      <c r="AF927" s="2"/>
      <c r="AG927" s="2"/>
      <c r="AH927" s="2"/>
      <c r="AI927" s="2"/>
      <c r="AJ927" s="2"/>
      <c r="AK927" s="2"/>
      <c r="AL927" s="54"/>
      <c r="AM927" s="54"/>
      <c r="AN927" s="54"/>
      <c r="AO927" s="54"/>
    </row>
    <row r="928" customFormat="false" ht="11.25" hidden="false" customHeight="true" outlineLevel="0" collapsed="false">
      <c r="A928" s="83"/>
      <c r="B928" s="84"/>
      <c r="C928" s="85"/>
      <c r="D928" s="93"/>
      <c r="E928" s="85"/>
      <c r="F928" s="88"/>
      <c r="G928" s="89"/>
      <c r="H928" s="89"/>
      <c r="I928" s="89"/>
      <c r="J928" s="89"/>
      <c r="K928" s="90"/>
      <c r="L928" s="91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92"/>
      <c r="AD928" s="2"/>
      <c r="AE928" s="2"/>
      <c r="AF928" s="2"/>
      <c r="AG928" s="2"/>
      <c r="AH928" s="2"/>
      <c r="AI928" s="2"/>
      <c r="AJ928" s="2"/>
      <c r="AK928" s="2"/>
      <c r="AL928" s="54"/>
      <c r="AM928" s="54"/>
      <c r="AN928" s="54"/>
      <c r="AO928" s="54"/>
    </row>
    <row r="929" customFormat="false" ht="11.25" hidden="false" customHeight="true" outlineLevel="0" collapsed="false">
      <c r="A929" s="83"/>
      <c r="B929" s="84"/>
      <c r="C929" s="85"/>
      <c r="D929" s="93"/>
      <c r="E929" s="85"/>
      <c r="F929" s="88"/>
      <c r="G929" s="89"/>
      <c r="H929" s="89"/>
      <c r="I929" s="89"/>
      <c r="J929" s="89"/>
      <c r="K929" s="90"/>
      <c r="L929" s="91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92"/>
      <c r="AD929" s="2"/>
      <c r="AE929" s="2"/>
      <c r="AF929" s="2"/>
      <c r="AG929" s="2"/>
      <c r="AH929" s="2"/>
      <c r="AI929" s="2"/>
      <c r="AJ929" s="2"/>
      <c r="AK929" s="2"/>
      <c r="AL929" s="54"/>
      <c r="AM929" s="54"/>
      <c r="AN929" s="54"/>
      <c r="AO929" s="54"/>
    </row>
    <row r="930" customFormat="false" ht="11.25" hidden="false" customHeight="true" outlineLevel="0" collapsed="false">
      <c r="A930" s="83"/>
      <c r="B930" s="84"/>
      <c r="C930" s="85"/>
      <c r="D930" s="93"/>
      <c r="E930" s="85"/>
      <c r="F930" s="88"/>
      <c r="G930" s="89"/>
      <c r="H930" s="89"/>
      <c r="I930" s="89"/>
      <c r="J930" s="89"/>
      <c r="K930" s="90"/>
      <c r="L930" s="91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92"/>
      <c r="AD930" s="2"/>
      <c r="AE930" s="2"/>
      <c r="AF930" s="2"/>
      <c r="AG930" s="2"/>
      <c r="AH930" s="2"/>
      <c r="AI930" s="2"/>
      <c r="AJ930" s="2"/>
      <c r="AK930" s="2"/>
      <c r="AL930" s="54"/>
      <c r="AM930" s="54"/>
      <c r="AN930" s="54"/>
      <c r="AO930" s="54"/>
    </row>
    <row r="931" customFormat="false" ht="11.25" hidden="false" customHeight="true" outlineLevel="0" collapsed="false">
      <c r="A931" s="83"/>
      <c r="B931" s="84"/>
      <c r="C931" s="85"/>
      <c r="D931" s="93"/>
      <c r="E931" s="85"/>
      <c r="F931" s="88"/>
      <c r="G931" s="89"/>
      <c r="H931" s="89"/>
      <c r="I931" s="89"/>
      <c r="J931" s="89"/>
      <c r="K931" s="90"/>
      <c r="L931" s="91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92"/>
      <c r="AD931" s="2"/>
      <c r="AE931" s="2"/>
      <c r="AF931" s="2"/>
      <c r="AG931" s="2"/>
      <c r="AH931" s="2"/>
      <c r="AI931" s="2"/>
      <c r="AJ931" s="2"/>
      <c r="AK931" s="2"/>
      <c r="AL931" s="54"/>
      <c r="AM931" s="54"/>
      <c r="AN931" s="54"/>
      <c r="AO931" s="54"/>
    </row>
    <row r="932" customFormat="false" ht="11.25" hidden="false" customHeight="true" outlineLevel="0" collapsed="false">
      <c r="A932" s="83"/>
      <c r="B932" s="84"/>
      <c r="C932" s="85"/>
      <c r="D932" s="93"/>
      <c r="E932" s="85"/>
      <c r="F932" s="88"/>
      <c r="G932" s="89"/>
      <c r="H932" s="89"/>
      <c r="I932" s="89"/>
      <c r="J932" s="89"/>
      <c r="K932" s="90"/>
      <c r="L932" s="91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92"/>
      <c r="AD932" s="2"/>
      <c r="AE932" s="2"/>
      <c r="AF932" s="2"/>
      <c r="AG932" s="2"/>
      <c r="AH932" s="2"/>
      <c r="AI932" s="2"/>
      <c r="AJ932" s="2"/>
      <c r="AK932" s="2"/>
      <c r="AL932" s="54"/>
      <c r="AM932" s="54"/>
      <c r="AN932" s="54"/>
      <c r="AO932" s="54"/>
    </row>
    <row r="933" customFormat="false" ht="11.25" hidden="false" customHeight="true" outlineLevel="0" collapsed="false">
      <c r="A933" s="83"/>
      <c r="B933" s="84"/>
      <c r="C933" s="85"/>
      <c r="D933" s="93"/>
      <c r="E933" s="85"/>
      <c r="F933" s="88"/>
      <c r="G933" s="89"/>
      <c r="H933" s="89"/>
      <c r="I933" s="89"/>
      <c r="J933" s="89"/>
      <c r="K933" s="90"/>
      <c r="L933" s="91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92"/>
      <c r="AD933" s="2"/>
      <c r="AE933" s="2"/>
      <c r="AF933" s="2"/>
      <c r="AG933" s="2"/>
      <c r="AH933" s="2"/>
      <c r="AI933" s="2"/>
      <c r="AJ933" s="2"/>
      <c r="AK933" s="2"/>
      <c r="AL933" s="54"/>
      <c r="AM933" s="54"/>
      <c r="AN933" s="54"/>
      <c r="AO933" s="54"/>
    </row>
    <row r="934" customFormat="false" ht="11.25" hidden="false" customHeight="true" outlineLevel="0" collapsed="false">
      <c r="A934" s="83"/>
      <c r="B934" s="84"/>
      <c r="C934" s="85"/>
      <c r="D934" s="93"/>
      <c r="E934" s="85"/>
      <c r="F934" s="88"/>
      <c r="G934" s="89"/>
      <c r="H934" s="89"/>
      <c r="I934" s="89"/>
      <c r="J934" s="89"/>
      <c r="K934" s="90"/>
      <c r="L934" s="91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92"/>
      <c r="AD934" s="2"/>
      <c r="AE934" s="2"/>
      <c r="AF934" s="2"/>
      <c r="AG934" s="2"/>
      <c r="AH934" s="2"/>
      <c r="AI934" s="2"/>
      <c r="AJ934" s="2"/>
      <c r="AK934" s="2"/>
      <c r="AL934" s="54"/>
      <c r="AM934" s="54"/>
      <c r="AN934" s="54"/>
      <c r="AO934" s="54"/>
    </row>
    <row r="935" customFormat="false" ht="11.25" hidden="false" customHeight="true" outlineLevel="0" collapsed="false">
      <c r="A935" s="83"/>
      <c r="B935" s="84"/>
      <c r="C935" s="85"/>
      <c r="D935" s="93"/>
      <c r="E935" s="85"/>
      <c r="F935" s="88"/>
      <c r="G935" s="89"/>
      <c r="H935" s="89"/>
      <c r="I935" s="89"/>
      <c r="J935" s="89"/>
      <c r="K935" s="90"/>
      <c r="L935" s="91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92"/>
      <c r="AD935" s="2"/>
      <c r="AE935" s="2"/>
      <c r="AF935" s="2"/>
      <c r="AG935" s="2"/>
      <c r="AH935" s="2"/>
      <c r="AI935" s="2"/>
      <c r="AJ935" s="2"/>
      <c r="AK935" s="2"/>
      <c r="AL935" s="54"/>
      <c r="AM935" s="54"/>
      <c r="AN935" s="54"/>
      <c r="AO935" s="54"/>
    </row>
    <row r="936" customFormat="false" ht="11.25" hidden="false" customHeight="true" outlineLevel="0" collapsed="false">
      <c r="A936" s="83"/>
      <c r="B936" s="84"/>
      <c r="C936" s="85"/>
      <c r="D936" s="93"/>
      <c r="E936" s="85"/>
      <c r="F936" s="88"/>
      <c r="G936" s="89"/>
      <c r="H936" s="89"/>
      <c r="I936" s="89"/>
      <c r="J936" s="89"/>
      <c r="K936" s="90"/>
      <c r="L936" s="91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92"/>
      <c r="AD936" s="2"/>
      <c r="AE936" s="2"/>
      <c r="AF936" s="2"/>
      <c r="AG936" s="2"/>
      <c r="AH936" s="2"/>
      <c r="AI936" s="2"/>
      <c r="AJ936" s="2"/>
      <c r="AK936" s="2"/>
      <c r="AL936" s="54"/>
      <c r="AM936" s="54"/>
      <c r="AN936" s="54"/>
      <c r="AO936" s="54"/>
    </row>
    <row r="937" customFormat="false" ht="11.25" hidden="false" customHeight="true" outlineLevel="0" collapsed="false">
      <c r="A937" s="83"/>
      <c r="B937" s="84"/>
      <c r="C937" s="85"/>
      <c r="D937" s="93"/>
      <c r="E937" s="85"/>
      <c r="F937" s="88"/>
      <c r="G937" s="89"/>
      <c r="H937" s="89"/>
      <c r="I937" s="89"/>
      <c r="J937" s="89"/>
      <c r="K937" s="90"/>
      <c r="L937" s="91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92"/>
      <c r="AD937" s="2"/>
      <c r="AE937" s="2"/>
      <c r="AF937" s="2"/>
      <c r="AG937" s="2"/>
      <c r="AH937" s="2"/>
      <c r="AI937" s="2"/>
      <c r="AJ937" s="2"/>
      <c r="AK937" s="2"/>
      <c r="AL937" s="54"/>
      <c r="AM937" s="54"/>
      <c r="AN937" s="54"/>
      <c r="AO937" s="54"/>
    </row>
    <row r="938" customFormat="false" ht="11.25" hidden="false" customHeight="true" outlineLevel="0" collapsed="false">
      <c r="A938" s="83"/>
      <c r="B938" s="84"/>
      <c r="C938" s="85"/>
      <c r="D938" s="93"/>
      <c r="E938" s="85"/>
      <c r="F938" s="88"/>
      <c r="G938" s="89"/>
      <c r="H938" s="89"/>
      <c r="I938" s="89"/>
      <c r="J938" s="89"/>
      <c r="K938" s="90"/>
      <c r="L938" s="91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92"/>
      <c r="AD938" s="2"/>
      <c r="AE938" s="2"/>
      <c r="AF938" s="2"/>
      <c r="AG938" s="2"/>
      <c r="AH938" s="2"/>
      <c r="AI938" s="2"/>
      <c r="AJ938" s="2"/>
      <c r="AK938" s="2"/>
      <c r="AL938" s="54"/>
      <c r="AM938" s="54"/>
      <c r="AN938" s="54"/>
      <c r="AO938" s="54"/>
    </row>
    <row r="939" customFormat="false" ht="11.25" hidden="false" customHeight="true" outlineLevel="0" collapsed="false">
      <c r="A939" s="83"/>
      <c r="B939" s="84"/>
      <c r="C939" s="85"/>
      <c r="D939" s="93"/>
      <c r="E939" s="85"/>
      <c r="F939" s="88"/>
      <c r="G939" s="89"/>
      <c r="H939" s="89"/>
      <c r="I939" s="89"/>
      <c r="J939" s="89"/>
      <c r="K939" s="90"/>
      <c r="L939" s="91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92"/>
      <c r="AD939" s="2"/>
      <c r="AE939" s="2"/>
      <c r="AF939" s="2"/>
      <c r="AG939" s="2"/>
      <c r="AH939" s="2"/>
      <c r="AI939" s="2"/>
      <c r="AJ939" s="2"/>
      <c r="AK939" s="2"/>
      <c r="AL939" s="54"/>
      <c r="AM939" s="54"/>
      <c r="AN939" s="54"/>
      <c r="AO939" s="54"/>
    </row>
    <row r="940" customFormat="false" ht="11.25" hidden="false" customHeight="true" outlineLevel="0" collapsed="false">
      <c r="A940" s="83"/>
      <c r="B940" s="84"/>
      <c r="C940" s="85"/>
      <c r="D940" s="93"/>
      <c r="E940" s="85"/>
      <c r="F940" s="88"/>
      <c r="G940" s="89"/>
      <c r="H940" s="89"/>
      <c r="I940" s="89"/>
      <c r="J940" s="89"/>
      <c r="K940" s="90"/>
      <c r="L940" s="91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92"/>
      <c r="AD940" s="2"/>
      <c r="AE940" s="2"/>
      <c r="AF940" s="2"/>
      <c r="AG940" s="2"/>
      <c r="AH940" s="2"/>
      <c r="AI940" s="2"/>
      <c r="AJ940" s="2"/>
      <c r="AK940" s="2"/>
      <c r="AL940" s="54"/>
      <c r="AM940" s="54"/>
      <c r="AN940" s="54"/>
      <c r="AO940" s="54"/>
    </row>
    <row r="941" customFormat="false" ht="11.25" hidden="false" customHeight="true" outlineLevel="0" collapsed="false">
      <c r="A941" s="83"/>
      <c r="B941" s="84"/>
      <c r="C941" s="85"/>
      <c r="D941" s="93"/>
      <c r="E941" s="85"/>
      <c r="F941" s="88"/>
      <c r="G941" s="89"/>
      <c r="H941" s="89"/>
      <c r="I941" s="89"/>
      <c r="J941" s="89"/>
      <c r="K941" s="90"/>
      <c r="L941" s="91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92"/>
      <c r="AD941" s="2"/>
      <c r="AE941" s="2"/>
      <c r="AF941" s="2"/>
      <c r="AG941" s="2"/>
      <c r="AH941" s="2"/>
      <c r="AI941" s="2"/>
      <c r="AJ941" s="2"/>
      <c r="AK941" s="2"/>
      <c r="AL941" s="54"/>
      <c r="AM941" s="54"/>
      <c r="AN941" s="54"/>
      <c r="AO941" s="54"/>
    </row>
    <row r="942" customFormat="false" ht="11.25" hidden="false" customHeight="true" outlineLevel="0" collapsed="false">
      <c r="A942" s="83"/>
      <c r="B942" s="84"/>
      <c r="C942" s="85"/>
      <c r="D942" s="93"/>
      <c r="E942" s="85"/>
      <c r="F942" s="88"/>
      <c r="G942" s="89"/>
      <c r="H942" s="89"/>
      <c r="I942" s="89"/>
      <c r="J942" s="89"/>
      <c r="K942" s="90"/>
      <c r="L942" s="91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92"/>
      <c r="AD942" s="2"/>
      <c r="AE942" s="2"/>
      <c r="AF942" s="2"/>
      <c r="AG942" s="2"/>
      <c r="AH942" s="2"/>
      <c r="AI942" s="2"/>
      <c r="AJ942" s="2"/>
      <c r="AK942" s="2"/>
      <c r="AL942" s="54"/>
      <c r="AM942" s="54"/>
      <c r="AN942" s="54"/>
      <c r="AO942" s="54"/>
    </row>
    <row r="943" customFormat="false" ht="11.25" hidden="false" customHeight="true" outlineLevel="0" collapsed="false">
      <c r="A943" s="83"/>
      <c r="B943" s="84"/>
      <c r="C943" s="85"/>
      <c r="D943" s="93"/>
      <c r="E943" s="85"/>
      <c r="F943" s="88"/>
      <c r="G943" s="89"/>
      <c r="H943" s="89"/>
      <c r="I943" s="89"/>
      <c r="J943" s="89"/>
      <c r="K943" s="90"/>
      <c r="L943" s="91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92"/>
      <c r="AD943" s="2"/>
      <c r="AE943" s="2"/>
      <c r="AF943" s="2"/>
      <c r="AG943" s="2"/>
      <c r="AH943" s="2"/>
      <c r="AI943" s="2"/>
      <c r="AJ943" s="2"/>
      <c r="AK943" s="2"/>
      <c r="AL943" s="54"/>
      <c r="AM943" s="54"/>
      <c r="AN943" s="54"/>
      <c r="AO943" s="54"/>
    </row>
    <row r="944" customFormat="false" ht="11.25" hidden="false" customHeight="true" outlineLevel="0" collapsed="false">
      <c r="A944" s="83"/>
      <c r="B944" s="84"/>
      <c r="C944" s="85"/>
      <c r="D944" s="93"/>
      <c r="E944" s="85"/>
      <c r="F944" s="88"/>
      <c r="G944" s="89"/>
      <c r="H944" s="89"/>
      <c r="I944" s="89"/>
      <c r="J944" s="89"/>
      <c r="K944" s="90"/>
      <c r="L944" s="91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92"/>
      <c r="AD944" s="2"/>
      <c r="AE944" s="2"/>
      <c r="AF944" s="2"/>
      <c r="AG944" s="2"/>
      <c r="AH944" s="2"/>
      <c r="AI944" s="2"/>
      <c r="AJ944" s="2"/>
      <c r="AK944" s="2"/>
      <c r="AL944" s="54"/>
      <c r="AM944" s="54"/>
      <c r="AN944" s="54"/>
      <c r="AO944" s="54"/>
    </row>
    <row r="945" customFormat="false" ht="11.25" hidden="false" customHeight="true" outlineLevel="0" collapsed="false">
      <c r="A945" s="83"/>
      <c r="B945" s="84"/>
      <c r="C945" s="85"/>
      <c r="D945" s="93"/>
      <c r="E945" s="85"/>
      <c r="F945" s="88"/>
      <c r="G945" s="89"/>
      <c r="H945" s="89"/>
      <c r="I945" s="89"/>
      <c r="J945" s="89"/>
      <c r="K945" s="90"/>
      <c r="L945" s="91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92"/>
      <c r="AD945" s="2"/>
      <c r="AE945" s="2"/>
      <c r="AF945" s="2"/>
      <c r="AG945" s="2"/>
      <c r="AH945" s="2"/>
      <c r="AI945" s="2"/>
      <c r="AJ945" s="2"/>
      <c r="AK945" s="2"/>
      <c r="AL945" s="54"/>
      <c r="AM945" s="54"/>
      <c r="AN945" s="54"/>
      <c r="AO945" s="54"/>
    </row>
    <row r="946" customFormat="false" ht="11.25" hidden="false" customHeight="true" outlineLevel="0" collapsed="false">
      <c r="A946" s="83"/>
      <c r="B946" s="84"/>
      <c r="C946" s="85"/>
      <c r="D946" s="93"/>
      <c r="E946" s="85"/>
      <c r="F946" s="88"/>
      <c r="G946" s="89"/>
      <c r="H946" s="89"/>
      <c r="I946" s="89"/>
      <c r="J946" s="89"/>
      <c r="K946" s="90"/>
      <c r="L946" s="91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92"/>
      <c r="AD946" s="2"/>
      <c r="AE946" s="2"/>
      <c r="AF946" s="2"/>
      <c r="AG946" s="2"/>
      <c r="AH946" s="2"/>
      <c r="AI946" s="2"/>
      <c r="AJ946" s="2"/>
      <c r="AK946" s="2"/>
      <c r="AL946" s="54"/>
      <c r="AM946" s="54"/>
      <c r="AN946" s="54"/>
      <c r="AO946" s="54"/>
    </row>
    <row r="947" customFormat="false" ht="11.25" hidden="false" customHeight="true" outlineLevel="0" collapsed="false">
      <c r="A947" s="83"/>
      <c r="B947" s="84"/>
      <c r="C947" s="85"/>
      <c r="D947" s="93"/>
      <c r="E947" s="85"/>
      <c r="F947" s="88"/>
      <c r="G947" s="89"/>
      <c r="H947" s="89"/>
      <c r="I947" s="89"/>
      <c r="J947" s="89"/>
      <c r="K947" s="90"/>
      <c r="L947" s="91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92"/>
      <c r="AD947" s="2"/>
      <c r="AE947" s="2"/>
      <c r="AF947" s="2"/>
      <c r="AG947" s="2"/>
      <c r="AH947" s="2"/>
      <c r="AI947" s="2"/>
      <c r="AJ947" s="2"/>
      <c r="AK947" s="2"/>
      <c r="AL947" s="54"/>
      <c r="AM947" s="54"/>
      <c r="AN947" s="54"/>
      <c r="AO947" s="54"/>
    </row>
    <row r="948" customFormat="false" ht="11.25" hidden="false" customHeight="true" outlineLevel="0" collapsed="false">
      <c r="A948" s="83"/>
      <c r="B948" s="84"/>
      <c r="C948" s="85"/>
      <c r="D948" s="93"/>
      <c r="E948" s="85"/>
      <c r="F948" s="88"/>
      <c r="G948" s="89"/>
      <c r="H948" s="89"/>
      <c r="I948" s="89"/>
      <c r="J948" s="89"/>
      <c r="K948" s="90"/>
      <c r="L948" s="91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92"/>
      <c r="AD948" s="2"/>
      <c r="AE948" s="2"/>
      <c r="AF948" s="2"/>
      <c r="AG948" s="2"/>
      <c r="AH948" s="2"/>
      <c r="AI948" s="2"/>
      <c r="AJ948" s="2"/>
      <c r="AK948" s="2"/>
      <c r="AL948" s="54"/>
      <c r="AM948" s="54"/>
      <c r="AN948" s="54"/>
      <c r="AO948" s="54"/>
    </row>
    <row r="949" customFormat="false" ht="11.25" hidden="false" customHeight="true" outlineLevel="0" collapsed="false">
      <c r="A949" s="83"/>
      <c r="B949" s="84"/>
      <c r="C949" s="85"/>
      <c r="D949" s="93"/>
      <c r="E949" s="85"/>
      <c r="F949" s="88"/>
      <c r="G949" s="89"/>
      <c r="H949" s="89"/>
      <c r="I949" s="89"/>
      <c r="J949" s="89"/>
      <c r="K949" s="90"/>
      <c r="L949" s="91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92"/>
      <c r="AD949" s="2"/>
      <c r="AE949" s="2"/>
      <c r="AF949" s="2"/>
      <c r="AG949" s="2"/>
      <c r="AH949" s="2"/>
      <c r="AI949" s="2"/>
      <c r="AJ949" s="2"/>
      <c r="AK949" s="2"/>
      <c r="AL949" s="54"/>
      <c r="AM949" s="54"/>
      <c r="AN949" s="54"/>
      <c r="AO949" s="54"/>
    </row>
    <row r="950" customFormat="false" ht="11.25" hidden="false" customHeight="true" outlineLevel="0" collapsed="false">
      <c r="A950" s="83"/>
      <c r="B950" s="84"/>
      <c r="C950" s="85"/>
      <c r="D950" s="93"/>
      <c r="E950" s="85"/>
      <c r="F950" s="88"/>
      <c r="G950" s="89"/>
      <c r="H950" s="89"/>
      <c r="I950" s="89"/>
      <c r="J950" s="89"/>
      <c r="K950" s="90"/>
      <c r="L950" s="91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92"/>
      <c r="AD950" s="2"/>
      <c r="AE950" s="2"/>
      <c r="AF950" s="2"/>
      <c r="AG950" s="2"/>
      <c r="AH950" s="2"/>
      <c r="AI950" s="2"/>
      <c r="AJ950" s="2"/>
      <c r="AK950" s="2"/>
      <c r="AL950" s="54"/>
      <c r="AM950" s="54"/>
      <c r="AN950" s="54"/>
      <c r="AO950" s="54"/>
    </row>
    <row r="951" customFormat="false" ht="11.25" hidden="false" customHeight="true" outlineLevel="0" collapsed="false">
      <c r="A951" s="83"/>
      <c r="B951" s="84"/>
      <c r="C951" s="85"/>
      <c r="D951" s="93"/>
      <c r="E951" s="85"/>
      <c r="F951" s="88"/>
      <c r="G951" s="89"/>
      <c r="H951" s="89"/>
      <c r="I951" s="89"/>
      <c r="J951" s="89"/>
      <c r="K951" s="90"/>
      <c r="L951" s="91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92"/>
      <c r="AD951" s="2"/>
      <c r="AE951" s="2"/>
      <c r="AF951" s="2"/>
      <c r="AG951" s="2"/>
      <c r="AH951" s="2"/>
      <c r="AI951" s="2"/>
      <c r="AJ951" s="2"/>
      <c r="AK951" s="2"/>
      <c r="AL951" s="54"/>
      <c r="AM951" s="54"/>
      <c r="AN951" s="54"/>
      <c r="AO951" s="54"/>
    </row>
    <row r="952" customFormat="false" ht="11.25" hidden="false" customHeight="true" outlineLevel="0" collapsed="false">
      <c r="A952" s="83"/>
      <c r="B952" s="84"/>
      <c r="C952" s="85"/>
      <c r="D952" s="93"/>
      <c r="E952" s="85"/>
      <c r="F952" s="88"/>
      <c r="G952" s="89"/>
      <c r="H952" s="89"/>
      <c r="I952" s="89"/>
      <c r="J952" s="89"/>
      <c r="K952" s="90"/>
      <c r="L952" s="91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92"/>
      <c r="AD952" s="2"/>
      <c r="AE952" s="2"/>
      <c r="AF952" s="2"/>
      <c r="AG952" s="2"/>
      <c r="AH952" s="2"/>
      <c r="AI952" s="2"/>
      <c r="AJ952" s="2"/>
      <c r="AK952" s="2"/>
      <c r="AL952" s="54"/>
      <c r="AM952" s="54"/>
      <c r="AN952" s="54"/>
      <c r="AO952" s="54"/>
    </row>
    <row r="953" customFormat="false" ht="11.25" hidden="false" customHeight="true" outlineLevel="0" collapsed="false">
      <c r="A953" s="83"/>
      <c r="B953" s="84"/>
      <c r="C953" s="85"/>
      <c r="D953" s="93"/>
      <c r="E953" s="85"/>
      <c r="F953" s="88"/>
      <c r="G953" s="89"/>
      <c r="H953" s="89"/>
      <c r="I953" s="89"/>
      <c r="J953" s="89"/>
      <c r="K953" s="90"/>
      <c r="L953" s="91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92"/>
      <c r="AD953" s="2"/>
      <c r="AE953" s="2"/>
      <c r="AF953" s="2"/>
      <c r="AG953" s="2"/>
      <c r="AH953" s="2"/>
      <c r="AI953" s="2"/>
      <c r="AJ953" s="2"/>
      <c r="AK953" s="2"/>
      <c r="AL953" s="54"/>
      <c r="AM953" s="54"/>
      <c r="AN953" s="54"/>
      <c r="AO953" s="54"/>
    </row>
    <row r="954" customFormat="false" ht="11.25" hidden="false" customHeight="true" outlineLevel="0" collapsed="false">
      <c r="A954" s="83"/>
      <c r="B954" s="84"/>
      <c r="C954" s="85"/>
      <c r="D954" s="93"/>
      <c r="E954" s="85"/>
      <c r="F954" s="88"/>
      <c r="G954" s="89"/>
      <c r="H954" s="89"/>
      <c r="I954" s="89"/>
      <c r="J954" s="89"/>
      <c r="K954" s="90"/>
      <c r="L954" s="91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92"/>
      <c r="AD954" s="2"/>
      <c r="AE954" s="2"/>
      <c r="AF954" s="2"/>
      <c r="AG954" s="2"/>
      <c r="AH954" s="2"/>
      <c r="AI954" s="2"/>
      <c r="AJ954" s="2"/>
      <c r="AK954" s="2"/>
      <c r="AL954" s="54"/>
      <c r="AM954" s="54"/>
      <c r="AN954" s="54"/>
      <c r="AO954" s="54"/>
    </row>
    <row r="955" customFormat="false" ht="11.25" hidden="false" customHeight="true" outlineLevel="0" collapsed="false">
      <c r="A955" s="83"/>
      <c r="B955" s="84"/>
      <c r="C955" s="85"/>
      <c r="D955" s="93"/>
      <c r="E955" s="85"/>
      <c r="F955" s="88"/>
      <c r="G955" s="89"/>
      <c r="H955" s="89"/>
      <c r="I955" s="89"/>
      <c r="J955" s="89"/>
      <c r="K955" s="90"/>
      <c r="L955" s="91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92"/>
      <c r="AD955" s="2"/>
      <c r="AE955" s="2"/>
      <c r="AF955" s="2"/>
      <c r="AG955" s="2"/>
      <c r="AH955" s="2"/>
      <c r="AI955" s="2"/>
      <c r="AJ955" s="2"/>
      <c r="AK955" s="2"/>
      <c r="AL955" s="54"/>
      <c r="AM955" s="54"/>
      <c r="AN955" s="54"/>
      <c r="AO955" s="54"/>
    </row>
    <row r="956" customFormat="false" ht="11.25" hidden="false" customHeight="true" outlineLevel="0" collapsed="false">
      <c r="A956" s="83"/>
      <c r="B956" s="84"/>
      <c r="C956" s="85"/>
      <c r="D956" s="93"/>
      <c r="E956" s="85"/>
      <c r="F956" s="88"/>
      <c r="G956" s="89"/>
      <c r="H956" s="89"/>
      <c r="I956" s="89"/>
      <c r="J956" s="89"/>
      <c r="K956" s="90"/>
      <c r="L956" s="91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92"/>
      <c r="AD956" s="2"/>
      <c r="AE956" s="2"/>
      <c r="AF956" s="2"/>
      <c r="AG956" s="2"/>
      <c r="AH956" s="2"/>
      <c r="AI956" s="2"/>
      <c r="AJ956" s="2"/>
      <c r="AK956" s="2"/>
      <c r="AL956" s="54"/>
      <c r="AM956" s="54"/>
      <c r="AN956" s="54"/>
      <c r="AO956" s="54"/>
    </row>
    <row r="957" customFormat="false" ht="11.25" hidden="false" customHeight="true" outlineLevel="0" collapsed="false">
      <c r="A957" s="83"/>
      <c r="B957" s="84"/>
      <c r="C957" s="85"/>
      <c r="D957" s="93"/>
      <c r="E957" s="85"/>
      <c r="F957" s="88"/>
      <c r="G957" s="89"/>
      <c r="H957" s="89"/>
      <c r="I957" s="89"/>
      <c r="J957" s="89"/>
      <c r="K957" s="90"/>
      <c r="L957" s="91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92"/>
      <c r="AD957" s="2"/>
      <c r="AE957" s="2"/>
      <c r="AF957" s="2"/>
      <c r="AG957" s="2"/>
      <c r="AH957" s="2"/>
      <c r="AI957" s="2"/>
      <c r="AJ957" s="2"/>
      <c r="AK957" s="2"/>
      <c r="AL957" s="54"/>
      <c r="AM957" s="54"/>
      <c r="AN957" s="54"/>
      <c r="AO957" s="54"/>
    </row>
    <row r="958" customFormat="false" ht="11.25" hidden="false" customHeight="true" outlineLevel="0" collapsed="false">
      <c r="A958" s="83"/>
      <c r="B958" s="84"/>
      <c r="C958" s="85"/>
      <c r="D958" s="93"/>
      <c r="E958" s="85"/>
      <c r="F958" s="88"/>
      <c r="G958" s="89"/>
      <c r="H958" s="89"/>
      <c r="I958" s="89"/>
      <c r="J958" s="89"/>
      <c r="K958" s="90"/>
      <c r="L958" s="91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92"/>
      <c r="AD958" s="2"/>
      <c r="AE958" s="2"/>
      <c r="AF958" s="2"/>
      <c r="AG958" s="2"/>
      <c r="AH958" s="2"/>
      <c r="AI958" s="2"/>
      <c r="AJ958" s="2"/>
      <c r="AK958" s="2"/>
      <c r="AL958" s="54"/>
      <c r="AM958" s="54"/>
      <c r="AN958" s="54"/>
      <c r="AO958" s="54"/>
    </row>
    <row r="959" customFormat="false" ht="11.25" hidden="false" customHeight="true" outlineLevel="0" collapsed="false">
      <c r="A959" s="83"/>
      <c r="B959" s="84"/>
      <c r="C959" s="85"/>
      <c r="D959" s="93"/>
      <c r="E959" s="85"/>
      <c r="F959" s="88"/>
      <c r="G959" s="89"/>
      <c r="H959" s="89"/>
      <c r="I959" s="89"/>
      <c r="J959" s="89"/>
      <c r="K959" s="90"/>
      <c r="L959" s="91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92"/>
      <c r="AD959" s="2"/>
      <c r="AE959" s="2"/>
      <c r="AF959" s="2"/>
      <c r="AG959" s="2"/>
      <c r="AH959" s="2"/>
      <c r="AI959" s="2"/>
      <c r="AJ959" s="2"/>
      <c r="AK959" s="2"/>
      <c r="AL959" s="54"/>
      <c r="AM959" s="54"/>
      <c r="AN959" s="54"/>
      <c r="AO959" s="54"/>
    </row>
    <row r="960" customFormat="false" ht="11.25" hidden="false" customHeight="true" outlineLevel="0" collapsed="false">
      <c r="A960" s="83"/>
      <c r="B960" s="84"/>
      <c r="C960" s="85"/>
      <c r="D960" s="93"/>
      <c r="E960" s="85"/>
      <c r="F960" s="88"/>
      <c r="G960" s="89"/>
      <c r="H960" s="89"/>
      <c r="I960" s="89"/>
      <c r="J960" s="89"/>
      <c r="K960" s="90"/>
      <c r="L960" s="91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92"/>
      <c r="AD960" s="2"/>
      <c r="AE960" s="2"/>
      <c r="AF960" s="2"/>
      <c r="AG960" s="2"/>
      <c r="AH960" s="2"/>
      <c r="AI960" s="2"/>
      <c r="AJ960" s="2"/>
      <c r="AK960" s="2"/>
      <c r="AL960" s="54"/>
      <c r="AM960" s="54"/>
      <c r="AN960" s="54"/>
      <c r="AO960" s="54"/>
    </row>
    <row r="961" customFormat="false" ht="11.25" hidden="false" customHeight="true" outlineLevel="0" collapsed="false">
      <c r="A961" s="83"/>
      <c r="B961" s="84"/>
      <c r="C961" s="85"/>
      <c r="D961" s="93"/>
      <c r="E961" s="85"/>
      <c r="F961" s="88"/>
      <c r="G961" s="89"/>
      <c r="H961" s="89"/>
      <c r="I961" s="89"/>
      <c r="J961" s="89"/>
      <c r="K961" s="90"/>
      <c r="L961" s="91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92"/>
      <c r="AD961" s="2"/>
      <c r="AE961" s="2"/>
      <c r="AF961" s="2"/>
      <c r="AG961" s="2"/>
      <c r="AH961" s="2"/>
      <c r="AI961" s="2"/>
      <c r="AJ961" s="2"/>
      <c r="AK961" s="2"/>
      <c r="AL961" s="54"/>
      <c r="AM961" s="54"/>
      <c r="AN961" s="54"/>
      <c r="AO961" s="54"/>
    </row>
    <row r="962" customFormat="false" ht="11.25" hidden="false" customHeight="true" outlineLevel="0" collapsed="false">
      <c r="A962" s="83"/>
      <c r="B962" s="84"/>
      <c r="C962" s="85"/>
      <c r="D962" s="93"/>
      <c r="E962" s="85"/>
      <c r="F962" s="88"/>
      <c r="G962" s="89"/>
      <c r="H962" s="89"/>
      <c r="I962" s="89"/>
      <c r="J962" s="89"/>
      <c r="K962" s="90"/>
      <c r="L962" s="91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92"/>
      <c r="AD962" s="2"/>
      <c r="AE962" s="2"/>
      <c r="AF962" s="2"/>
      <c r="AG962" s="2"/>
      <c r="AH962" s="2"/>
      <c r="AI962" s="2"/>
      <c r="AJ962" s="2"/>
      <c r="AK962" s="2"/>
      <c r="AL962" s="54"/>
      <c r="AM962" s="54"/>
      <c r="AN962" s="54"/>
      <c r="AO962" s="54"/>
    </row>
    <row r="963" customFormat="false" ht="11.25" hidden="false" customHeight="true" outlineLevel="0" collapsed="false">
      <c r="A963" s="83"/>
      <c r="B963" s="84"/>
      <c r="C963" s="85"/>
      <c r="D963" s="93"/>
      <c r="E963" s="85"/>
      <c r="F963" s="88"/>
      <c r="G963" s="89"/>
      <c r="H963" s="89"/>
      <c r="I963" s="89"/>
      <c r="J963" s="89"/>
      <c r="K963" s="90"/>
      <c r="L963" s="91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92"/>
      <c r="AD963" s="2"/>
      <c r="AE963" s="2"/>
      <c r="AF963" s="2"/>
      <c r="AG963" s="2"/>
      <c r="AH963" s="2"/>
      <c r="AI963" s="2"/>
      <c r="AJ963" s="2"/>
      <c r="AK963" s="2"/>
      <c r="AL963" s="54"/>
      <c r="AM963" s="54"/>
      <c r="AN963" s="54"/>
      <c r="AO963" s="54"/>
    </row>
    <row r="964" customFormat="false" ht="11.25" hidden="false" customHeight="true" outlineLevel="0" collapsed="false">
      <c r="A964" s="83"/>
      <c r="B964" s="84"/>
      <c r="C964" s="85"/>
      <c r="D964" s="93"/>
      <c r="E964" s="85"/>
      <c r="F964" s="88"/>
      <c r="G964" s="89"/>
      <c r="H964" s="89"/>
      <c r="I964" s="89"/>
      <c r="J964" s="89"/>
      <c r="K964" s="90"/>
      <c r="L964" s="91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92"/>
      <c r="AD964" s="2"/>
      <c r="AE964" s="2"/>
      <c r="AF964" s="2"/>
      <c r="AG964" s="2"/>
      <c r="AH964" s="2"/>
      <c r="AI964" s="2"/>
      <c r="AJ964" s="2"/>
      <c r="AK964" s="2"/>
      <c r="AL964" s="54"/>
      <c r="AM964" s="54"/>
      <c r="AN964" s="54"/>
      <c r="AO964" s="54"/>
    </row>
    <row r="965" customFormat="false" ht="11.25" hidden="false" customHeight="true" outlineLevel="0" collapsed="false">
      <c r="A965" s="83"/>
      <c r="B965" s="84"/>
      <c r="C965" s="85"/>
      <c r="D965" s="93"/>
      <c r="E965" s="85"/>
      <c r="F965" s="88"/>
      <c r="G965" s="89"/>
      <c r="H965" s="89"/>
      <c r="I965" s="89"/>
      <c r="J965" s="89"/>
      <c r="K965" s="90"/>
      <c r="L965" s="91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92"/>
      <c r="AD965" s="2"/>
      <c r="AE965" s="2"/>
      <c r="AF965" s="2"/>
      <c r="AG965" s="2"/>
      <c r="AH965" s="2"/>
      <c r="AI965" s="2"/>
      <c r="AJ965" s="2"/>
      <c r="AK965" s="2"/>
      <c r="AL965" s="54"/>
      <c r="AM965" s="54"/>
      <c r="AN965" s="54"/>
      <c r="AO965" s="54"/>
    </row>
    <row r="966" customFormat="false" ht="11.25" hidden="false" customHeight="true" outlineLevel="0" collapsed="false">
      <c r="A966" s="83"/>
      <c r="B966" s="84"/>
      <c r="C966" s="85"/>
      <c r="D966" s="93"/>
      <c r="E966" s="85"/>
      <c r="F966" s="88"/>
      <c r="G966" s="89"/>
      <c r="H966" s="89"/>
      <c r="I966" s="89"/>
      <c r="J966" s="89"/>
      <c r="K966" s="90"/>
      <c r="L966" s="91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92"/>
      <c r="AD966" s="2"/>
      <c r="AE966" s="2"/>
      <c r="AF966" s="2"/>
      <c r="AG966" s="2"/>
      <c r="AH966" s="2"/>
      <c r="AI966" s="2"/>
      <c r="AJ966" s="2"/>
      <c r="AK966" s="2"/>
      <c r="AL966" s="54"/>
      <c r="AM966" s="54"/>
      <c r="AN966" s="54"/>
      <c r="AO966" s="54"/>
    </row>
    <row r="967" customFormat="false" ht="11.25" hidden="false" customHeight="true" outlineLevel="0" collapsed="false">
      <c r="A967" s="83"/>
      <c r="B967" s="84"/>
      <c r="C967" s="85"/>
      <c r="D967" s="93"/>
      <c r="E967" s="85"/>
      <c r="F967" s="88"/>
      <c r="G967" s="89"/>
      <c r="H967" s="89"/>
      <c r="I967" s="89"/>
      <c r="J967" s="89"/>
      <c r="K967" s="90"/>
      <c r="L967" s="91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92"/>
      <c r="AD967" s="2"/>
      <c r="AE967" s="2"/>
      <c r="AF967" s="2"/>
      <c r="AG967" s="2"/>
      <c r="AH967" s="2"/>
      <c r="AI967" s="2"/>
      <c r="AJ967" s="2"/>
      <c r="AK967" s="2"/>
      <c r="AL967" s="54"/>
      <c r="AM967" s="54"/>
      <c r="AN967" s="54"/>
      <c r="AO967" s="54"/>
    </row>
    <row r="968" customFormat="false" ht="11.25" hidden="false" customHeight="true" outlineLevel="0" collapsed="false">
      <c r="A968" s="83"/>
      <c r="B968" s="84"/>
      <c r="C968" s="85"/>
      <c r="D968" s="93"/>
      <c r="E968" s="85"/>
      <c r="F968" s="88"/>
      <c r="G968" s="89"/>
      <c r="H968" s="89"/>
      <c r="I968" s="89"/>
      <c r="J968" s="89"/>
      <c r="K968" s="90"/>
      <c r="L968" s="91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92"/>
      <c r="AD968" s="2"/>
      <c r="AE968" s="2"/>
      <c r="AF968" s="2"/>
      <c r="AG968" s="2"/>
      <c r="AH968" s="2"/>
      <c r="AI968" s="2"/>
      <c r="AJ968" s="2"/>
      <c r="AK968" s="2"/>
      <c r="AL968" s="54"/>
      <c r="AM968" s="54"/>
      <c r="AN968" s="54"/>
      <c r="AO968" s="54"/>
    </row>
    <row r="969" customFormat="false" ht="11.25" hidden="false" customHeight="true" outlineLevel="0" collapsed="false">
      <c r="A969" s="83"/>
      <c r="B969" s="84"/>
      <c r="C969" s="85"/>
      <c r="D969" s="93"/>
      <c r="E969" s="85"/>
      <c r="F969" s="88"/>
      <c r="G969" s="89"/>
      <c r="H969" s="89"/>
      <c r="I969" s="89"/>
      <c r="J969" s="89"/>
      <c r="K969" s="90"/>
      <c r="L969" s="91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92"/>
      <c r="AD969" s="2"/>
      <c r="AE969" s="2"/>
      <c r="AF969" s="2"/>
      <c r="AG969" s="2"/>
      <c r="AH969" s="2"/>
      <c r="AI969" s="2"/>
      <c r="AJ969" s="2"/>
      <c r="AK969" s="2"/>
      <c r="AL969" s="54"/>
      <c r="AM969" s="54"/>
      <c r="AN969" s="54"/>
      <c r="AO969" s="54"/>
    </row>
    <row r="970" customFormat="false" ht="11.25" hidden="false" customHeight="true" outlineLevel="0" collapsed="false">
      <c r="A970" s="83"/>
      <c r="B970" s="84"/>
      <c r="C970" s="85"/>
      <c r="D970" s="93"/>
      <c r="E970" s="85"/>
      <c r="F970" s="88"/>
      <c r="G970" s="89"/>
      <c r="H970" s="89"/>
      <c r="I970" s="89"/>
      <c r="J970" s="89"/>
      <c r="K970" s="90"/>
      <c r="L970" s="91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92"/>
      <c r="AD970" s="2"/>
      <c r="AE970" s="2"/>
      <c r="AF970" s="2"/>
      <c r="AG970" s="2"/>
      <c r="AH970" s="2"/>
      <c r="AI970" s="2"/>
      <c r="AJ970" s="2"/>
      <c r="AK970" s="2"/>
      <c r="AL970" s="54"/>
      <c r="AM970" s="54"/>
      <c r="AN970" s="54"/>
      <c r="AO970" s="54"/>
    </row>
    <row r="971" customFormat="false" ht="11.25" hidden="false" customHeight="true" outlineLevel="0" collapsed="false">
      <c r="A971" s="83"/>
      <c r="B971" s="84"/>
      <c r="C971" s="85"/>
      <c r="D971" s="93"/>
      <c r="E971" s="85"/>
      <c r="F971" s="88"/>
      <c r="G971" s="89"/>
      <c r="H971" s="89"/>
      <c r="I971" s="89"/>
      <c r="J971" s="89"/>
      <c r="K971" s="90"/>
      <c r="L971" s="91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92"/>
      <c r="AD971" s="2"/>
      <c r="AE971" s="2"/>
      <c r="AF971" s="2"/>
      <c r="AG971" s="2"/>
      <c r="AH971" s="2"/>
      <c r="AI971" s="2"/>
      <c r="AJ971" s="2"/>
      <c r="AK971" s="2"/>
      <c r="AL971" s="54"/>
      <c r="AM971" s="54"/>
      <c r="AN971" s="54"/>
      <c r="AO971" s="54"/>
    </row>
    <row r="972" customFormat="false" ht="11.25" hidden="false" customHeight="true" outlineLevel="0" collapsed="false">
      <c r="A972" s="83"/>
      <c r="B972" s="84"/>
      <c r="C972" s="85"/>
      <c r="D972" s="93"/>
      <c r="E972" s="85"/>
      <c r="F972" s="88"/>
      <c r="G972" s="89"/>
      <c r="H972" s="89"/>
      <c r="I972" s="89"/>
      <c r="J972" s="89"/>
      <c r="K972" s="90"/>
      <c r="L972" s="91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92"/>
      <c r="AD972" s="2"/>
      <c r="AE972" s="2"/>
      <c r="AF972" s="2"/>
      <c r="AG972" s="2"/>
      <c r="AH972" s="2"/>
      <c r="AI972" s="2"/>
      <c r="AJ972" s="2"/>
      <c r="AK972" s="2"/>
      <c r="AL972" s="54"/>
      <c r="AM972" s="54"/>
      <c r="AN972" s="54"/>
      <c r="AO972" s="54"/>
    </row>
    <row r="973" customFormat="false" ht="11.25" hidden="false" customHeight="true" outlineLevel="0" collapsed="false">
      <c r="A973" s="83"/>
      <c r="B973" s="84"/>
      <c r="C973" s="85"/>
      <c r="D973" s="93"/>
      <c r="E973" s="85"/>
      <c r="F973" s="88"/>
      <c r="G973" s="89"/>
      <c r="H973" s="89"/>
      <c r="I973" s="89"/>
      <c r="J973" s="89"/>
      <c r="K973" s="90"/>
      <c r="L973" s="91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92"/>
      <c r="AD973" s="2"/>
      <c r="AE973" s="2"/>
      <c r="AF973" s="2"/>
      <c r="AG973" s="2"/>
      <c r="AH973" s="2"/>
      <c r="AI973" s="2"/>
      <c r="AJ973" s="2"/>
      <c r="AK973" s="2"/>
      <c r="AL973" s="54"/>
      <c r="AM973" s="54"/>
      <c r="AN973" s="54"/>
      <c r="AO973" s="54"/>
    </row>
    <row r="974" customFormat="false" ht="11.25" hidden="false" customHeight="true" outlineLevel="0" collapsed="false">
      <c r="A974" s="83"/>
      <c r="B974" s="84"/>
      <c r="C974" s="85"/>
      <c r="D974" s="93"/>
      <c r="E974" s="85"/>
      <c r="F974" s="88"/>
      <c r="G974" s="89"/>
      <c r="H974" s="89"/>
      <c r="I974" s="89"/>
      <c r="J974" s="89"/>
      <c r="K974" s="90"/>
      <c r="L974" s="91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92"/>
      <c r="AD974" s="2"/>
      <c r="AE974" s="2"/>
      <c r="AF974" s="2"/>
      <c r="AG974" s="2"/>
      <c r="AH974" s="2"/>
      <c r="AI974" s="2"/>
      <c r="AJ974" s="2"/>
      <c r="AK974" s="2"/>
      <c r="AL974" s="54"/>
      <c r="AM974" s="54"/>
      <c r="AN974" s="54"/>
      <c r="AO974" s="54"/>
    </row>
    <row r="975" customFormat="false" ht="11.25" hidden="false" customHeight="true" outlineLevel="0" collapsed="false">
      <c r="A975" s="83"/>
      <c r="B975" s="84"/>
      <c r="C975" s="85"/>
      <c r="D975" s="93"/>
      <c r="E975" s="85"/>
      <c r="F975" s="88"/>
      <c r="G975" s="89"/>
      <c r="H975" s="89"/>
      <c r="I975" s="89"/>
      <c r="J975" s="89"/>
      <c r="K975" s="90"/>
      <c r="L975" s="91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92"/>
      <c r="AD975" s="2"/>
      <c r="AE975" s="2"/>
      <c r="AF975" s="2"/>
      <c r="AG975" s="2"/>
      <c r="AH975" s="2"/>
      <c r="AI975" s="2"/>
      <c r="AJ975" s="2"/>
      <c r="AK975" s="2"/>
      <c r="AL975" s="54"/>
      <c r="AM975" s="54"/>
      <c r="AN975" s="54"/>
      <c r="AO975" s="54"/>
    </row>
    <row r="976" customFormat="false" ht="11.25" hidden="false" customHeight="true" outlineLevel="0" collapsed="false">
      <c r="A976" s="83"/>
      <c r="B976" s="84"/>
      <c r="C976" s="85"/>
      <c r="D976" s="93"/>
      <c r="E976" s="85"/>
      <c r="F976" s="88"/>
      <c r="G976" s="89"/>
      <c r="H976" s="89"/>
      <c r="I976" s="89"/>
      <c r="J976" s="89"/>
      <c r="K976" s="90"/>
      <c r="L976" s="91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92"/>
      <c r="AD976" s="2"/>
      <c r="AE976" s="2"/>
      <c r="AF976" s="2"/>
      <c r="AG976" s="2"/>
      <c r="AH976" s="2"/>
      <c r="AI976" s="2"/>
      <c r="AJ976" s="2"/>
      <c r="AK976" s="2"/>
      <c r="AL976" s="54"/>
      <c r="AM976" s="54"/>
      <c r="AN976" s="54"/>
      <c r="AO976" s="54"/>
    </row>
    <row r="977" customFormat="false" ht="11.25" hidden="false" customHeight="true" outlineLevel="0" collapsed="false">
      <c r="A977" s="83"/>
      <c r="B977" s="84"/>
      <c r="C977" s="85"/>
      <c r="D977" s="93"/>
      <c r="E977" s="85"/>
      <c r="F977" s="88"/>
      <c r="G977" s="89"/>
      <c r="H977" s="89"/>
      <c r="I977" s="89"/>
      <c r="J977" s="89"/>
      <c r="K977" s="90"/>
      <c r="L977" s="91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92"/>
      <c r="AD977" s="2"/>
      <c r="AE977" s="2"/>
      <c r="AF977" s="2"/>
      <c r="AG977" s="2"/>
      <c r="AH977" s="2"/>
      <c r="AI977" s="2"/>
      <c r="AJ977" s="2"/>
      <c r="AK977" s="2"/>
      <c r="AL977" s="54"/>
      <c r="AM977" s="54"/>
      <c r="AN977" s="54"/>
      <c r="AO977" s="54"/>
    </row>
    <row r="978" customFormat="false" ht="11.25" hidden="false" customHeight="true" outlineLevel="0" collapsed="false">
      <c r="A978" s="83"/>
      <c r="B978" s="84"/>
      <c r="C978" s="85"/>
      <c r="D978" s="93"/>
      <c r="E978" s="85"/>
      <c r="F978" s="88"/>
      <c r="G978" s="89"/>
      <c r="H978" s="89"/>
      <c r="I978" s="89"/>
      <c r="J978" s="89"/>
      <c r="K978" s="90"/>
      <c r="L978" s="91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92"/>
      <c r="AD978" s="2"/>
      <c r="AE978" s="2"/>
      <c r="AF978" s="2"/>
      <c r="AG978" s="2"/>
      <c r="AH978" s="2"/>
      <c r="AI978" s="2"/>
      <c r="AJ978" s="2"/>
      <c r="AK978" s="2"/>
      <c r="AL978" s="54"/>
      <c r="AM978" s="54"/>
      <c r="AN978" s="54"/>
      <c r="AO978" s="54"/>
    </row>
    <row r="979" customFormat="false" ht="11.25" hidden="false" customHeight="true" outlineLevel="0" collapsed="false">
      <c r="A979" s="83"/>
      <c r="B979" s="84"/>
      <c r="C979" s="85"/>
      <c r="D979" s="93"/>
      <c r="E979" s="85"/>
      <c r="F979" s="88"/>
      <c r="G979" s="89"/>
      <c r="H979" s="89"/>
      <c r="I979" s="89"/>
      <c r="J979" s="89"/>
      <c r="K979" s="90"/>
      <c r="L979" s="91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92"/>
      <c r="AD979" s="2"/>
      <c r="AE979" s="2"/>
      <c r="AF979" s="2"/>
      <c r="AG979" s="2"/>
      <c r="AH979" s="2"/>
      <c r="AI979" s="2"/>
      <c r="AJ979" s="2"/>
      <c r="AK979" s="2"/>
      <c r="AL979" s="54"/>
      <c r="AM979" s="54"/>
      <c r="AN979" s="54"/>
      <c r="AO979" s="54"/>
    </row>
    <row r="980" customFormat="false" ht="11.25" hidden="false" customHeight="true" outlineLevel="0" collapsed="false">
      <c r="A980" s="83"/>
      <c r="B980" s="84"/>
      <c r="C980" s="85"/>
      <c r="D980" s="93"/>
      <c r="E980" s="85"/>
      <c r="F980" s="88"/>
      <c r="G980" s="89"/>
      <c r="H980" s="89"/>
      <c r="I980" s="89"/>
      <c r="J980" s="89"/>
      <c r="K980" s="90"/>
      <c r="L980" s="91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92"/>
      <c r="AD980" s="2"/>
      <c r="AE980" s="2"/>
      <c r="AF980" s="2"/>
      <c r="AG980" s="2"/>
      <c r="AH980" s="2"/>
      <c r="AI980" s="2"/>
      <c r="AJ980" s="2"/>
      <c r="AK980" s="2"/>
      <c r="AL980" s="54"/>
      <c r="AM980" s="54"/>
      <c r="AN980" s="54"/>
      <c r="AO980" s="54"/>
    </row>
    <row r="981" customFormat="false" ht="11.25" hidden="false" customHeight="true" outlineLevel="0" collapsed="false">
      <c r="A981" s="83"/>
      <c r="B981" s="84"/>
      <c r="C981" s="85"/>
      <c r="D981" s="93"/>
      <c r="E981" s="85"/>
      <c r="F981" s="88"/>
      <c r="G981" s="89"/>
      <c r="H981" s="89"/>
      <c r="I981" s="89"/>
      <c r="J981" s="89"/>
      <c r="K981" s="90"/>
      <c r="L981" s="91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92"/>
      <c r="AD981" s="2"/>
      <c r="AE981" s="2"/>
      <c r="AF981" s="2"/>
      <c r="AG981" s="2"/>
      <c r="AH981" s="2"/>
      <c r="AI981" s="2"/>
      <c r="AJ981" s="2"/>
      <c r="AK981" s="2"/>
      <c r="AL981" s="54"/>
      <c r="AM981" s="54"/>
      <c r="AN981" s="54"/>
      <c r="AO981" s="54"/>
    </row>
    <row r="982" customFormat="false" ht="11.25" hidden="false" customHeight="true" outlineLevel="0" collapsed="false">
      <c r="A982" s="83"/>
      <c r="B982" s="84"/>
      <c r="C982" s="85"/>
      <c r="D982" s="93"/>
      <c r="E982" s="85"/>
      <c r="F982" s="88"/>
      <c r="G982" s="89"/>
      <c r="H982" s="89"/>
      <c r="I982" s="89"/>
      <c r="J982" s="89"/>
      <c r="K982" s="90"/>
      <c r="L982" s="91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92"/>
      <c r="AD982" s="2"/>
      <c r="AE982" s="2"/>
      <c r="AF982" s="2"/>
      <c r="AG982" s="2"/>
      <c r="AH982" s="2"/>
      <c r="AI982" s="2"/>
      <c r="AJ982" s="2"/>
      <c r="AK982" s="2"/>
      <c r="AL982" s="54"/>
      <c r="AM982" s="54"/>
      <c r="AN982" s="54"/>
      <c r="AO982" s="54"/>
    </row>
    <row r="983" customFormat="false" ht="11.25" hidden="false" customHeight="true" outlineLevel="0" collapsed="false">
      <c r="A983" s="83"/>
      <c r="B983" s="84"/>
      <c r="C983" s="85"/>
      <c r="D983" s="93"/>
      <c r="E983" s="85"/>
      <c r="F983" s="88"/>
      <c r="G983" s="89"/>
      <c r="H983" s="89"/>
      <c r="I983" s="89"/>
      <c r="J983" s="89"/>
      <c r="K983" s="90"/>
      <c r="L983" s="91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92"/>
      <c r="AD983" s="2"/>
      <c r="AE983" s="2"/>
      <c r="AF983" s="2"/>
      <c r="AG983" s="2"/>
      <c r="AH983" s="2"/>
      <c r="AI983" s="2"/>
      <c r="AJ983" s="2"/>
      <c r="AK983" s="2"/>
      <c r="AL983" s="54"/>
      <c r="AM983" s="54"/>
      <c r="AN983" s="54"/>
      <c r="AO983" s="54"/>
    </row>
    <row r="984" customFormat="false" ht="11.25" hidden="false" customHeight="true" outlineLevel="0" collapsed="false">
      <c r="A984" s="83"/>
      <c r="B984" s="84"/>
      <c r="C984" s="85"/>
      <c r="D984" s="93"/>
      <c r="E984" s="85"/>
      <c r="F984" s="88"/>
      <c r="G984" s="89"/>
      <c r="H984" s="89"/>
      <c r="I984" s="89"/>
      <c r="J984" s="89"/>
      <c r="K984" s="90"/>
      <c r="L984" s="91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92"/>
      <c r="AD984" s="2"/>
      <c r="AE984" s="2"/>
      <c r="AF984" s="2"/>
      <c r="AG984" s="2"/>
      <c r="AH984" s="2"/>
      <c r="AI984" s="2"/>
      <c r="AJ984" s="2"/>
      <c r="AK984" s="2"/>
      <c r="AL984" s="54"/>
      <c r="AM984" s="54"/>
      <c r="AN984" s="54"/>
      <c r="AO984" s="54"/>
    </row>
    <row r="985" customFormat="false" ht="11.25" hidden="false" customHeight="true" outlineLevel="0" collapsed="false">
      <c r="A985" s="83"/>
      <c r="B985" s="84"/>
      <c r="C985" s="85"/>
      <c r="D985" s="93"/>
      <c r="E985" s="85"/>
      <c r="F985" s="88"/>
      <c r="G985" s="89"/>
      <c r="H985" s="89"/>
      <c r="I985" s="89"/>
      <c r="J985" s="89"/>
      <c r="K985" s="90"/>
      <c r="L985" s="91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92"/>
      <c r="AD985" s="2"/>
      <c r="AE985" s="2"/>
      <c r="AF985" s="2"/>
      <c r="AG985" s="2"/>
      <c r="AH985" s="2"/>
      <c r="AI985" s="2"/>
      <c r="AJ985" s="2"/>
      <c r="AK985" s="2"/>
      <c r="AL985" s="54"/>
      <c r="AM985" s="54"/>
      <c r="AN985" s="54"/>
      <c r="AO985" s="54"/>
    </row>
    <row r="986" customFormat="false" ht="11.25" hidden="false" customHeight="true" outlineLevel="0" collapsed="false">
      <c r="A986" s="83"/>
      <c r="B986" s="84"/>
      <c r="C986" s="85"/>
      <c r="D986" s="93"/>
      <c r="E986" s="85"/>
      <c r="F986" s="88"/>
      <c r="G986" s="89"/>
      <c r="H986" s="89"/>
      <c r="I986" s="89"/>
      <c r="J986" s="89"/>
      <c r="K986" s="90"/>
      <c r="L986" s="91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92"/>
      <c r="AD986" s="2"/>
      <c r="AE986" s="2"/>
      <c r="AF986" s="2"/>
      <c r="AG986" s="2"/>
      <c r="AH986" s="2"/>
      <c r="AI986" s="2"/>
      <c r="AJ986" s="2"/>
      <c r="AK986" s="2"/>
      <c r="AL986" s="54"/>
      <c r="AM986" s="54"/>
      <c r="AN986" s="54"/>
      <c r="AO986" s="54"/>
    </row>
    <row r="987" customFormat="false" ht="11.25" hidden="false" customHeight="true" outlineLevel="0" collapsed="false">
      <c r="A987" s="83"/>
      <c r="B987" s="84"/>
      <c r="C987" s="85"/>
      <c r="D987" s="93"/>
      <c r="E987" s="85"/>
      <c r="F987" s="88"/>
      <c r="G987" s="89"/>
      <c r="H987" s="89"/>
      <c r="I987" s="89"/>
      <c r="J987" s="89"/>
      <c r="K987" s="90"/>
      <c r="L987" s="91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92"/>
      <c r="AD987" s="2"/>
      <c r="AE987" s="2"/>
      <c r="AF987" s="2"/>
      <c r="AG987" s="2"/>
      <c r="AH987" s="2"/>
      <c r="AI987" s="2"/>
      <c r="AJ987" s="2"/>
      <c r="AK987" s="2"/>
      <c r="AL987" s="54"/>
      <c r="AM987" s="54"/>
      <c r="AN987" s="54"/>
      <c r="AO987" s="54"/>
    </row>
    <row r="988" customFormat="false" ht="11.25" hidden="false" customHeight="true" outlineLevel="0" collapsed="false">
      <c r="A988" s="83"/>
      <c r="B988" s="84"/>
      <c r="C988" s="85"/>
      <c r="D988" s="93"/>
      <c r="E988" s="85"/>
      <c r="F988" s="88"/>
      <c r="G988" s="89"/>
      <c r="H988" s="89"/>
      <c r="I988" s="89"/>
      <c r="J988" s="89"/>
      <c r="K988" s="90"/>
      <c r="L988" s="91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92"/>
      <c r="AD988" s="2"/>
      <c r="AE988" s="2"/>
      <c r="AF988" s="2"/>
      <c r="AG988" s="2"/>
      <c r="AH988" s="2"/>
      <c r="AI988" s="2"/>
      <c r="AJ988" s="2"/>
      <c r="AK988" s="2"/>
      <c r="AL988" s="54"/>
      <c r="AM988" s="54"/>
      <c r="AN988" s="54"/>
      <c r="AO988" s="54"/>
    </row>
    <row r="989" customFormat="false" ht="11.25" hidden="false" customHeight="true" outlineLevel="0" collapsed="false">
      <c r="A989" s="83"/>
      <c r="B989" s="84"/>
      <c r="C989" s="85"/>
      <c r="D989" s="93"/>
      <c r="E989" s="85"/>
      <c r="F989" s="88"/>
      <c r="G989" s="89"/>
      <c r="H989" s="89"/>
      <c r="I989" s="89"/>
      <c r="J989" s="89"/>
      <c r="K989" s="90"/>
      <c r="L989" s="91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92"/>
      <c r="AD989" s="2"/>
      <c r="AE989" s="2"/>
      <c r="AF989" s="2"/>
      <c r="AG989" s="2"/>
      <c r="AH989" s="2"/>
      <c r="AI989" s="2"/>
      <c r="AJ989" s="2"/>
      <c r="AK989" s="2"/>
      <c r="AL989" s="54"/>
      <c r="AM989" s="54"/>
      <c r="AN989" s="54"/>
      <c r="AO989" s="54"/>
    </row>
    <row r="990" customFormat="false" ht="11.25" hidden="false" customHeight="true" outlineLevel="0" collapsed="false">
      <c r="A990" s="83"/>
      <c r="B990" s="84"/>
      <c r="C990" s="85"/>
      <c r="D990" s="93"/>
      <c r="E990" s="85"/>
      <c r="F990" s="88"/>
      <c r="G990" s="89"/>
      <c r="H990" s="89"/>
      <c r="I990" s="89"/>
      <c r="J990" s="89"/>
      <c r="K990" s="90"/>
      <c r="L990" s="91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92"/>
      <c r="AD990" s="2"/>
      <c r="AE990" s="2"/>
      <c r="AF990" s="2"/>
      <c r="AG990" s="2"/>
      <c r="AH990" s="2"/>
      <c r="AI990" s="2"/>
      <c r="AJ990" s="2"/>
      <c r="AK990" s="2"/>
      <c r="AL990" s="54"/>
      <c r="AM990" s="54"/>
      <c r="AN990" s="54"/>
      <c r="AO990" s="54"/>
    </row>
    <row r="991" customFormat="false" ht="11.25" hidden="false" customHeight="true" outlineLevel="0" collapsed="false">
      <c r="A991" s="83"/>
      <c r="B991" s="84"/>
      <c r="C991" s="85"/>
      <c r="D991" s="93"/>
      <c r="E991" s="85"/>
      <c r="F991" s="88"/>
      <c r="G991" s="89"/>
      <c r="H991" s="89"/>
      <c r="I991" s="89"/>
      <c r="J991" s="89"/>
      <c r="K991" s="90"/>
      <c r="L991" s="91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92"/>
      <c r="AD991" s="2"/>
      <c r="AE991" s="2"/>
      <c r="AF991" s="2"/>
      <c r="AG991" s="2"/>
      <c r="AH991" s="2"/>
      <c r="AI991" s="2"/>
      <c r="AJ991" s="2"/>
      <c r="AK991" s="2"/>
      <c r="AL991" s="54"/>
      <c r="AM991" s="54"/>
      <c r="AN991" s="54"/>
      <c r="AO991" s="54"/>
    </row>
    <row r="992" customFormat="false" ht="11.25" hidden="false" customHeight="true" outlineLevel="0" collapsed="false">
      <c r="A992" s="83"/>
      <c r="B992" s="84"/>
      <c r="C992" s="85"/>
      <c r="D992" s="93"/>
      <c r="E992" s="85"/>
      <c r="F992" s="88"/>
      <c r="G992" s="89"/>
      <c r="H992" s="89"/>
      <c r="I992" s="89"/>
      <c r="J992" s="89"/>
      <c r="K992" s="90"/>
      <c r="L992" s="91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92"/>
      <c r="AD992" s="2"/>
      <c r="AE992" s="2"/>
      <c r="AF992" s="2"/>
      <c r="AG992" s="2"/>
      <c r="AH992" s="2"/>
      <c r="AI992" s="2"/>
      <c r="AJ992" s="2"/>
      <c r="AK992" s="2"/>
      <c r="AL992" s="54"/>
      <c r="AM992" s="54"/>
      <c r="AN992" s="54"/>
      <c r="AO992" s="54"/>
    </row>
    <row r="993" customFormat="false" ht="11.25" hidden="false" customHeight="true" outlineLevel="0" collapsed="false">
      <c r="A993" s="83"/>
      <c r="B993" s="84"/>
      <c r="C993" s="85"/>
      <c r="D993" s="93"/>
      <c r="E993" s="85"/>
      <c r="F993" s="88"/>
      <c r="G993" s="89"/>
      <c r="H993" s="89"/>
      <c r="I993" s="89"/>
      <c r="J993" s="89"/>
      <c r="K993" s="90"/>
      <c r="L993" s="91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92"/>
      <c r="AD993" s="2"/>
      <c r="AE993" s="2"/>
      <c r="AF993" s="2"/>
      <c r="AG993" s="2"/>
      <c r="AH993" s="2"/>
      <c r="AI993" s="2"/>
      <c r="AJ993" s="2"/>
      <c r="AK993" s="2"/>
      <c r="AL993" s="54"/>
      <c r="AM993" s="54"/>
      <c r="AN993" s="54"/>
      <c r="AO993" s="54"/>
    </row>
    <row r="994" customFormat="false" ht="11.25" hidden="false" customHeight="true" outlineLevel="0" collapsed="false">
      <c r="A994" s="83"/>
      <c r="B994" s="84"/>
      <c r="C994" s="85"/>
      <c r="D994" s="93"/>
      <c r="E994" s="85"/>
      <c r="F994" s="88"/>
      <c r="G994" s="89"/>
      <c r="H994" s="89"/>
      <c r="I994" s="89"/>
      <c r="J994" s="89"/>
      <c r="K994" s="90"/>
      <c r="L994" s="91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92"/>
      <c r="AD994" s="2"/>
      <c r="AE994" s="2"/>
      <c r="AF994" s="2"/>
      <c r="AG994" s="2"/>
      <c r="AH994" s="2"/>
      <c r="AI994" s="2"/>
      <c r="AJ994" s="2"/>
      <c r="AK994" s="2"/>
      <c r="AL994" s="54"/>
      <c r="AM994" s="54"/>
      <c r="AN994" s="54"/>
      <c r="AO994" s="54"/>
    </row>
    <row r="995" customFormat="false" ht="11.25" hidden="false" customHeight="true" outlineLevel="0" collapsed="false">
      <c r="A995" s="83"/>
      <c r="B995" s="84"/>
      <c r="C995" s="85"/>
      <c r="D995" s="93"/>
      <c r="E995" s="85"/>
      <c r="F995" s="88"/>
      <c r="G995" s="89"/>
      <c r="H995" s="89"/>
      <c r="I995" s="89"/>
      <c r="J995" s="89"/>
      <c r="K995" s="90"/>
      <c r="L995" s="91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92"/>
      <c r="AD995" s="2"/>
      <c r="AE995" s="2"/>
      <c r="AF995" s="2"/>
      <c r="AG995" s="2"/>
      <c r="AH995" s="2"/>
      <c r="AI995" s="2"/>
      <c r="AJ995" s="2"/>
      <c r="AK995" s="2"/>
      <c r="AL995" s="54"/>
      <c r="AM995" s="54"/>
      <c r="AN995" s="54"/>
      <c r="AO995" s="54"/>
    </row>
    <row r="996" customFormat="false" ht="11.25" hidden="false" customHeight="true" outlineLevel="0" collapsed="false">
      <c r="A996" s="83"/>
      <c r="B996" s="84"/>
      <c r="C996" s="85"/>
      <c r="D996" s="93"/>
      <c r="E996" s="85"/>
      <c r="F996" s="88"/>
      <c r="G996" s="89"/>
      <c r="H996" s="89"/>
      <c r="I996" s="89"/>
      <c r="J996" s="89"/>
      <c r="K996" s="90"/>
      <c r="L996" s="91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92"/>
      <c r="AD996" s="2"/>
      <c r="AE996" s="2"/>
      <c r="AF996" s="2"/>
      <c r="AG996" s="2"/>
      <c r="AH996" s="2"/>
      <c r="AI996" s="2"/>
      <c r="AJ996" s="2"/>
      <c r="AK996" s="2"/>
      <c r="AL996" s="54"/>
      <c r="AM996" s="54"/>
      <c r="AN996" s="54"/>
      <c r="AO996" s="54"/>
    </row>
    <row r="997" customFormat="false" ht="11.25" hidden="false" customHeight="true" outlineLevel="0" collapsed="false">
      <c r="A997" s="83"/>
      <c r="B997" s="84"/>
      <c r="C997" s="85"/>
      <c r="D997" s="93"/>
      <c r="E997" s="85"/>
      <c r="F997" s="88"/>
      <c r="G997" s="89"/>
      <c r="H997" s="89"/>
      <c r="I997" s="89"/>
      <c r="J997" s="89"/>
      <c r="K997" s="90"/>
      <c r="L997" s="91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92"/>
      <c r="AD997" s="2"/>
      <c r="AE997" s="2"/>
      <c r="AF997" s="2"/>
      <c r="AG997" s="2"/>
      <c r="AH997" s="2"/>
      <c r="AI997" s="2"/>
      <c r="AJ997" s="2"/>
      <c r="AK997" s="2"/>
      <c r="AL997" s="54"/>
      <c r="AM997" s="54"/>
      <c r="AN997" s="54"/>
      <c r="AO997" s="54"/>
    </row>
    <row r="998" customFormat="false" ht="11.25" hidden="false" customHeight="true" outlineLevel="0" collapsed="false">
      <c r="A998" s="83"/>
      <c r="B998" s="84"/>
      <c r="C998" s="85"/>
      <c r="D998" s="93"/>
      <c r="E998" s="85"/>
      <c r="F998" s="88"/>
      <c r="G998" s="89"/>
      <c r="H998" s="89"/>
      <c r="I998" s="89"/>
      <c r="J998" s="89"/>
      <c r="K998" s="90"/>
      <c r="L998" s="91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92"/>
      <c r="AD998" s="2"/>
      <c r="AE998" s="2"/>
      <c r="AF998" s="2"/>
      <c r="AG998" s="2"/>
      <c r="AH998" s="2"/>
      <c r="AI998" s="2"/>
      <c r="AJ998" s="2"/>
      <c r="AK998" s="2"/>
      <c r="AL998" s="54"/>
      <c r="AM998" s="54"/>
      <c r="AN998" s="54"/>
      <c r="AO998" s="54"/>
    </row>
    <row r="999" customFormat="false" ht="11.25" hidden="false" customHeight="true" outlineLevel="0" collapsed="false">
      <c r="A999" s="83"/>
      <c r="B999" s="84"/>
      <c r="C999" s="85"/>
      <c r="D999" s="93"/>
      <c r="E999" s="85"/>
      <c r="F999" s="88"/>
      <c r="G999" s="89"/>
      <c r="H999" s="89"/>
      <c r="I999" s="89"/>
      <c r="J999" s="89"/>
      <c r="K999" s="90"/>
      <c r="L999" s="91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92"/>
      <c r="AD999" s="2"/>
      <c r="AE999" s="2"/>
      <c r="AF999" s="2"/>
      <c r="AG999" s="2"/>
      <c r="AH999" s="2"/>
      <c r="AI999" s="2"/>
      <c r="AJ999" s="2"/>
      <c r="AK999" s="2"/>
      <c r="AL999" s="54"/>
      <c r="AM999" s="54"/>
      <c r="AN999" s="54"/>
      <c r="AO999" s="54"/>
    </row>
    <row r="1000" customFormat="false" ht="11.25" hidden="false" customHeight="true" outlineLevel="0" collapsed="false">
      <c r="A1000" s="83"/>
      <c r="B1000" s="84"/>
      <c r="C1000" s="85"/>
      <c r="D1000" s="93"/>
      <c r="E1000" s="85"/>
      <c r="F1000" s="88"/>
      <c r="G1000" s="89"/>
      <c r="H1000" s="89"/>
      <c r="I1000" s="89"/>
      <c r="J1000" s="89"/>
      <c r="K1000" s="90"/>
      <c r="L1000" s="91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92"/>
      <c r="AD1000" s="2"/>
      <c r="AE1000" s="2"/>
      <c r="AF1000" s="2"/>
      <c r="AG1000" s="2"/>
      <c r="AH1000" s="2"/>
      <c r="AI1000" s="2"/>
      <c r="AJ1000" s="2"/>
      <c r="AK1000" s="2"/>
      <c r="AL1000" s="54"/>
      <c r="AM1000" s="54"/>
      <c r="AN1000" s="54"/>
      <c r="AO1000" s="54"/>
    </row>
    <row r="1001" customFormat="false" ht="11.25" hidden="false" customHeight="true" outlineLevel="0" collapsed="false">
      <c r="A1001" s="83"/>
      <c r="B1001" s="84"/>
      <c r="C1001" s="85"/>
      <c r="D1001" s="93"/>
      <c r="E1001" s="85"/>
      <c r="F1001" s="88"/>
      <c r="G1001" s="89"/>
      <c r="H1001" s="89"/>
      <c r="I1001" s="89"/>
      <c r="J1001" s="89"/>
      <c r="K1001" s="90"/>
      <c r="L1001" s="91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92"/>
      <c r="AD1001" s="2"/>
      <c r="AE1001" s="2"/>
      <c r="AF1001" s="2"/>
      <c r="AG1001" s="2"/>
      <c r="AH1001" s="2"/>
      <c r="AI1001" s="2"/>
      <c r="AJ1001" s="2"/>
      <c r="AK1001" s="2"/>
      <c r="AL1001" s="54"/>
      <c r="AM1001" s="54"/>
      <c r="AN1001" s="54"/>
      <c r="AO1001" s="54"/>
    </row>
  </sheetData>
  <mergeCells count="15">
    <mergeCell ref="A1:AC1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M2:P2"/>
    <mergeCell ref="Q2:T2"/>
    <mergeCell ref="U2:X2"/>
    <mergeCell ref="Y2:AB2"/>
    <mergeCell ref="AC2:AC3"/>
  </mergeCells>
  <dataValidations count="6">
    <dataValidation allowBlank="true" operator="between" showDropDown="false" showErrorMessage="true" showInputMessage="false" sqref="M4:AB110" type="list">
      <formula1>Parametros!$E$2:$E$6</formula1>
      <formula2>0</formula2>
    </dataValidation>
    <dataValidation allowBlank="true" operator="between" showDropDown="false" showErrorMessage="true" showInputMessage="false" sqref="E4:E110" type="list">
      <formula1>Parametros!$E$10:$E$11</formula1>
      <formula2>0</formula2>
    </dataValidation>
    <dataValidation allowBlank="true" operator="between" showDropDown="false" showErrorMessage="true" showInputMessage="false" sqref="L4:L110" type="list">
      <formula1>Parametros!$O$1:$O$304</formula1>
      <formula2>0</formula2>
    </dataValidation>
    <dataValidation allowBlank="true" operator="between" showDropDown="false" showErrorMessage="false" showInputMessage="false" sqref="A4 A98" type="list">
      <formula1>Parametros!$L$1:$M$1</formula1>
      <formula2>0</formula2>
    </dataValidation>
    <dataValidation allowBlank="true" operator="between" showDropDown="false" showErrorMessage="true" showInputMessage="false" sqref="B4:B110" type="list">
      <formula1>Parametros!$K$1:$K$303</formula1>
      <formula2>0</formula2>
    </dataValidation>
    <dataValidation allowBlank="true" operator="between" showDropDown="false" showErrorMessage="false" showInputMessage="false" sqref="A5:A97 A99:A110" type="list">
      <formula1>Parametros!$L$1:$M$1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4.38"/>
    <col collapsed="false" customWidth="true" hidden="false" outlineLevel="0" max="3" min="3" style="0" width="6.87"/>
    <col collapsed="false" customWidth="true" hidden="false" outlineLevel="0" max="4" min="4" style="0" width="37.62"/>
    <col collapsed="false" customWidth="true" hidden="false" outlineLevel="0" max="5" min="5" style="0" width="10.38"/>
    <col collapsed="false" customWidth="true" hidden="false" outlineLevel="0" max="10" min="10" style="0" width="13.88"/>
    <col collapsed="false" customWidth="true" hidden="false" outlineLevel="0" max="13" min="11" style="0" width="13.25"/>
    <col collapsed="false" customWidth="true" hidden="false" outlineLevel="0" max="14" min="14" style="0" width="31.38"/>
  </cols>
  <sheetData>
    <row r="1" customFormat="false" ht="14.25" hidden="false" customHeight="true" outlineLevel="0" collapsed="false">
      <c r="A1" s="94" t="str">
        <f aca="false">IFERROR(__xludf.dummyfunction("IMPORTRANGE(""1NZaPiVqFzCwlmUq8LagadmqPKSiT9llb2c3OuwvzV-4"",""PA 2020!a1"")"),"Plano Anual 2020")</f>
        <v>Plano Anual 2020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customFormat="false" ht="11.25" hidden="false" customHeight="true" outlineLevel="0" collapsed="false">
      <c r="A2" s="96" t="str">
        <f aca="false">IFERROR(__xludf.dummyfunction("IMPORTRANGE(""1NZaPiVqFzCwlmUq8LagadmqPKSiT9llb2c3OuwvzV-4"",""PA 2020!a2"")"),"Vinculação com o PDU")</f>
        <v>Vinculação com o PDU</v>
      </c>
      <c r="B2" s="97" t="str">
        <f aca="false">IFERROR(__xludf.dummyfunction("IMPORTRANGE(""1NZaPiVqFzCwlmUq8LagadmqPKSiT9llb2c3OuwvzV-4"",""PA 2020!b2"")"),"Nº da Ação")</f>
        <v>Nº da Ação</v>
      </c>
      <c r="C2" s="97" t="str">
        <f aca="false">IFERROR(__xludf.dummyfunction("IMPORTRANGE(""1NZaPiVqFzCwlmUq8LagadmqPKSiT9llb2c3OuwvzV-4"",""PA 2020!c2"")"),"Código da Ação")</f>
        <v>Código da Ação</v>
      </c>
      <c r="D2" s="98" t="str">
        <f aca="false">IFERROR(__xludf.dummyfunction("IMPORTRANGE(""1NZaPiVqFzCwlmUq8LagadmqPKSiT9llb2c3OuwvzV-4"",""PA 2020!d2"")"),"Ação")</f>
        <v>Ação</v>
      </c>
      <c r="E2" s="1" t="str">
        <f aca="false">IFERROR(__xludf.dummyfunction("IMPORTRANGE(""1NZaPiVqFzCwlmUq8LagadmqPKSiT9llb2c3OuwvzV-4"",""PA 2020!e2"")"),"Recursos Orçamentários")</f>
        <v>Recursos Orçamentários</v>
      </c>
      <c r="F2" s="99" t="str">
        <f aca="false">IFERROR(__xludf.dummyfunction("IMPORTRANGE(""1NZaPiVqFzCwlmUq8LagadmqPKSiT9llb2c3OuwvzV-4"",""PA 2020!f2"")"),"Descrição das Entregas")</f>
        <v>Descrição das Entregas</v>
      </c>
      <c r="G2" s="99"/>
      <c r="H2" s="99"/>
      <c r="I2" s="99"/>
      <c r="J2" s="99" t="str">
        <f aca="false">IFERROR(__xludf.dummyfunction("IMPORTRANGE(""1NZaPiVqFzCwlmUq8LagadmqPKSiT9llb2c3OuwvzV-4"",""PA 2020!j2"")"),"Situação das Entregas")</f>
        <v>Situação das Entregas</v>
      </c>
      <c r="K2" s="99"/>
      <c r="L2" s="99"/>
      <c r="M2" s="99"/>
      <c r="N2" s="100" t="str">
        <f aca="false">IFERROR(__xludf.dummyfunction("IMPORTRANGE(""1NZaPiVqFzCwlmUq8LagadmqPKSiT9llb2c3OuwvzV-4"",""PA 2020!n2"")"),"Observação")</f>
        <v>Observação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customFormat="false" ht="11.25" hidden="false" customHeight="true" outlineLevel="0" collapsed="false">
      <c r="A3" s="96"/>
      <c r="B3" s="97"/>
      <c r="C3" s="97"/>
      <c r="D3" s="97"/>
      <c r="E3" s="1"/>
      <c r="F3" s="101" t="str">
        <f aca="false">IFERROR(__xludf.dummyfunction("IMPORTRANGE(""1NZaPiVqFzCwlmUq8LagadmqPKSiT9llb2c3OuwvzV-4"",""PA 2020!f3"")"),"1º Trimestre")</f>
        <v>1º Trimestre</v>
      </c>
      <c r="G3" s="102" t="str">
        <f aca="false">IFERROR(__xludf.dummyfunction("IMPORTRANGE(""1NZaPiVqFzCwlmUq8LagadmqPKSiT9llb2c3OuwvzV-4"",""PA 2020!g3"")"),"2º Trimestre")</f>
        <v>2º Trimestre</v>
      </c>
      <c r="H3" s="102" t="str">
        <f aca="false">IFERROR(__xludf.dummyfunction("IMPORTRANGE(""1NZaPiVqFzCwlmUq8LagadmqPKSiT9llb2c3OuwvzV-4"",""PA 2020!h3"")"),"3º Trimestre")</f>
        <v>3º Trimestre</v>
      </c>
      <c r="I3" s="102" t="str">
        <f aca="false">IFERROR(__xludf.dummyfunction("IMPORTRANGE(""1NZaPiVqFzCwlmUq8LagadmqPKSiT9llb2c3OuwvzV-4"",""PA 2020!i3"")"),"4º Trimestre")</f>
        <v>4º Trimestre</v>
      </c>
      <c r="J3" s="103" t="str">
        <f aca="false">IFERROR(__xludf.dummyfunction("IMPORTRANGE(""1NZaPiVqFzCwlmUq8LagadmqPKSiT9llb2c3OuwvzV-4"",""PA 2020!j3"")"),"1º Trimestre")</f>
        <v>1º Trimestre</v>
      </c>
      <c r="K3" s="104" t="str">
        <f aca="false">IFERROR(__xludf.dummyfunction("IMPORTRANGE(""1NZaPiVqFzCwlmUq8LagadmqPKSiT9llb2c3OuwvzV-4"",""PA 2020!k3"")"),"2º Trimestre")</f>
        <v>2º Trimestre</v>
      </c>
      <c r="L3" s="104" t="str">
        <f aca="false">IFERROR(__xludf.dummyfunction("IMPORTRANGE(""1NZaPiVqFzCwlmUq8LagadmqPKSiT9llb2c3OuwvzV-4"",""PA 2020!l3"")"),"3º Trimestre")</f>
        <v>3º Trimestre</v>
      </c>
      <c r="M3" s="105" t="str">
        <f aca="false">IFERROR(__xludf.dummyfunction("IMPORTRANGE(""1NZaPiVqFzCwlmUq8LagadmqPKSiT9llb2c3OuwvzV-4"",""PA 2020!m3"")"),"4º Trimestre")</f>
        <v>4º Trimestre</v>
      </c>
      <c r="N3" s="100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customFormat="false" ht="27.75" hidden="false" customHeight="true" outlineLevel="0" collapsed="false">
      <c r="A4" s="106" t="s">
        <v>52</v>
      </c>
      <c r="B4" s="107" t="n">
        <v>1</v>
      </c>
      <c r="C4" s="108" t="str">
        <f aca="false">CONCATENATE(A4,".",B4)</f>
        <v>PDI 14.2.1</v>
      </c>
      <c r="D4" s="109" t="s">
        <v>53</v>
      </c>
      <c r="E4" s="110" t="s">
        <v>54</v>
      </c>
      <c r="F4" s="111"/>
      <c r="G4" s="112" t="s">
        <v>55</v>
      </c>
      <c r="H4" s="113"/>
      <c r="I4" s="114"/>
      <c r="J4" s="110" t="s">
        <v>56</v>
      </c>
      <c r="K4" s="107" t="s">
        <v>57</v>
      </c>
      <c r="L4" s="107"/>
      <c r="M4" s="107"/>
      <c r="N4" s="115" t="s">
        <v>58</v>
      </c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customFormat="false" ht="27.75" hidden="false" customHeight="true" outlineLevel="0" collapsed="false">
      <c r="A5" s="106" t="s">
        <v>52</v>
      </c>
      <c r="B5" s="116" t="n">
        <v>2</v>
      </c>
      <c r="C5" s="108" t="str">
        <f aca="false">CONCATENATE(A5,".",B5)</f>
        <v>PDI 14.2.2</v>
      </c>
      <c r="D5" s="117" t="s">
        <v>59</v>
      </c>
      <c r="E5" s="118" t="s">
        <v>54</v>
      </c>
      <c r="F5" s="119"/>
      <c r="G5" s="118" t="s">
        <v>60</v>
      </c>
      <c r="H5" s="120"/>
      <c r="I5" s="121"/>
      <c r="J5" s="118" t="s">
        <v>56</v>
      </c>
      <c r="K5" s="122" t="s">
        <v>57</v>
      </c>
      <c r="L5" s="122"/>
      <c r="M5" s="122"/>
      <c r="N5" s="123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customFormat="false" ht="27.75" hidden="false" customHeight="true" outlineLevel="0" collapsed="false">
      <c r="A6" s="106" t="s">
        <v>52</v>
      </c>
      <c r="B6" s="116" t="n">
        <v>3</v>
      </c>
      <c r="C6" s="108" t="str">
        <f aca="false">CONCATENATE(A6,".",B6)</f>
        <v>PDI 14.2.3</v>
      </c>
      <c r="D6" s="117" t="s">
        <v>61</v>
      </c>
      <c r="E6" s="118" t="s">
        <v>54</v>
      </c>
      <c r="F6" s="119"/>
      <c r="G6" s="118" t="s">
        <v>62</v>
      </c>
      <c r="H6" s="120"/>
      <c r="I6" s="121"/>
      <c r="J6" s="118" t="s">
        <v>56</v>
      </c>
      <c r="K6" s="122" t="s">
        <v>57</v>
      </c>
      <c r="L6" s="122"/>
      <c r="M6" s="122"/>
      <c r="N6" s="123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customFormat="false" ht="27.75" hidden="false" customHeight="true" outlineLevel="0" collapsed="false">
      <c r="A7" s="106" t="s">
        <v>52</v>
      </c>
      <c r="B7" s="116" t="n">
        <v>4</v>
      </c>
      <c r="C7" s="108" t="str">
        <f aca="false">CONCATENATE(A7,".",B7)</f>
        <v>PDI 14.2.4</v>
      </c>
      <c r="D7" s="117" t="s">
        <v>63</v>
      </c>
      <c r="E7" s="118" t="s">
        <v>54</v>
      </c>
      <c r="F7" s="119"/>
      <c r="G7" s="118" t="s">
        <v>64</v>
      </c>
      <c r="H7" s="120"/>
      <c r="I7" s="121"/>
      <c r="J7" s="118" t="s">
        <v>56</v>
      </c>
      <c r="K7" s="122" t="s">
        <v>57</v>
      </c>
      <c r="L7" s="122"/>
      <c r="M7" s="122"/>
      <c r="N7" s="123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customFormat="false" ht="27.75" hidden="false" customHeight="true" outlineLevel="0" collapsed="false">
      <c r="A8" s="106" t="s">
        <v>52</v>
      </c>
      <c r="B8" s="116" t="n">
        <v>5</v>
      </c>
      <c r="C8" s="108" t="str">
        <f aca="false">CONCATENATE(A8,".",B8)</f>
        <v>PDI 14.2.5</v>
      </c>
      <c r="D8" s="117" t="s">
        <v>65</v>
      </c>
      <c r="E8" s="118" t="s">
        <v>54</v>
      </c>
      <c r="F8" s="119"/>
      <c r="G8" s="120"/>
      <c r="H8" s="118" t="s">
        <v>66</v>
      </c>
      <c r="I8" s="121"/>
      <c r="J8" s="118" t="s">
        <v>56</v>
      </c>
      <c r="K8" s="122" t="s">
        <v>56</v>
      </c>
      <c r="L8" s="122" t="s">
        <v>67</v>
      </c>
      <c r="M8" s="124"/>
      <c r="N8" s="125" t="s">
        <v>68</v>
      </c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customFormat="false" ht="27.75" hidden="false" customHeight="true" outlineLevel="0" collapsed="false">
      <c r="A9" s="106" t="s">
        <v>52</v>
      </c>
      <c r="B9" s="116" t="n">
        <v>6</v>
      </c>
      <c r="C9" s="108" t="str">
        <f aca="false">CONCATENATE(A9,".",B9)</f>
        <v>PDI 14.2.6</v>
      </c>
      <c r="D9" s="117" t="s">
        <v>69</v>
      </c>
      <c r="E9" s="118" t="s">
        <v>54</v>
      </c>
      <c r="F9" s="119"/>
      <c r="G9" s="120"/>
      <c r="H9" s="118" t="s">
        <v>64</v>
      </c>
      <c r="I9" s="121"/>
      <c r="J9" s="118" t="s">
        <v>56</v>
      </c>
      <c r="K9" s="122" t="s">
        <v>56</v>
      </c>
      <c r="L9" s="122" t="s">
        <v>70</v>
      </c>
      <c r="M9" s="122"/>
      <c r="N9" s="123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customFormat="false" ht="27.75" hidden="false" customHeight="true" outlineLevel="0" collapsed="false">
      <c r="A10" s="106" t="s">
        <v>52</v>
      </c>
      <c r="B10" s="116" t="n">
        <v>7</v>
      </c>
      <c r="C10" s="108" t="str">
        <f aca="false">CONCATENATE(A10,".",B10)</f>
        <v>PDI 14.2.7</v>
      </c>
      <c r="D10" s="117" t="s">
        <v>71</v>
      </c>
      <c r="E10" s="118" t="s">
        <v>54</v>
      </c>
      <c r="F10" s="119"/>
      <c r="G10" s="120"/>
      <c r="H10" s="120"/>
      <c r="I10" s="126" t="s">
        <v>72</v>
      </c>
      <c r="J10" s="118" t="s">
        <v>56</v>
      </c>
      <c r="K10" s="122" t="s">
        <v>56</v>
      </c>
      <c r="L10" s="122" t="s">
        <v>70</v>
      </c>
      <c r="M10" s="122"/>
      <c r="N10" s="123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customFormat="false" ht="27.75" hidden="false" customHeight="true" outlineLevel="0" collapsed="false">
      <c r="A11" s="106"/>
      <c r="B11" s="127"/>
      <c r="C11" s="108" t="str">
        <f aca="false">CONCATENATE(A11,".",B11)</f>
        <v>.</v>
      </c>
      <c r="D11" s="117"/>
      <c r="E11" s="120"/>
      <c r="F11" s="119"/>
      <c r="G11" s="120"/>
      <c r="H11" s="120"/>
      <c r="I11" s="121"/>
      <c r="J11" s="120"/>
      <c r="K11" s="124"/>
      <c r="L11" s="124"/>
      <c r="M11" s="124"/>
      <c r="N11" s="123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customFormat="false" ht="27.75" hidden="false" customHeight="true" outlineLevel="0" collapsed="false">
      <c r="A12" s="106" t="s">
        <v>73</v>
      </c>
      <c r="B12" s="116" t="n">
        <v>1</v>
      </c>
      <c r="C12" s="108" t="str">
        <f aca="false">CONCATENATE(A12,".",B12)</f>
        <v>PG 4.9.1</v>
      </c>
      <c r="D12" s="117" t="s">
        <v>74</v>
      </c>
      <c r="E12" s="118" t="s">
        <v>54</v>
      </c>
      <c r="F12" s="128" t="s">
        <v>75</v>
      </c>
      <c r="G12" s="120"/>
      <c r="H12" s="120"/>
      <c r="I12" s="121"/>
      <c r="J12" s="122" t="s">
        <v>57</v>
      </c>
      <c r="K12" s="122"/>
      <c r="L12" s="122"/>
      <c r="M12" s="122"/>
      <c r="N12" s="123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customFormat="false" ht="27.75" hidden="false" customHeight="true" outlineLevel="0" collapsed="false">
      <c r="A13" s="106" t="s">
        <v>73</v>
      </c>
      <c r="B13" s="116" t="n">
        <v>2</v>
      </c>
      <c r="C13" s="108" t="str">
        <f aca="false">CONCATENATE(A13,".",B13)</f>
        <v>PG 4.9.2</v>
      </c>
      <c r="D13" s="117" t="s">
        <v>76</v>
      </c>
      <c r="E13" s="118" t="s">
        <v>54</v>
      </c>
      <c r="F13" s="119"/>
      <c r="G13" s="118" t="s">
        <v>77</v>
      </c>
      <c r="H13" s="120"/>
      <c r="I13" s="121"/>
      <c r="J13" s="122" t="s">
        <v>57</v>
      </c>
      <c r="K13" s="122"/>
      <c r="L13" s="122"/>
      <c r="M13" s="122"/>
      <c r="N13" s="123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customFormat="false" ht="27.75" hidden="false" customHeight="true" outlineLevel="0" collapsed="false">
      <c r="A14" s="106" t="s">
        <v>73</v>
      </c>
      <c r="B14" s="116" t="n">
        <v>3</v>
      </c>
      <c r="C14" s="108" t="str">
        <f aca="false">CONCATENATE(A14,".",B14)</f>
        <v>PG 4.9.3</v>
      </c>
      <c r="D14" s="117" t="s">
        <v>78</v>
      </c>
      <c r="E14" s="118" t="s">
        <v>54</v>
      </c>
      <c r="F14" s="119"/>
      <c r="G14" s="120"/>
      <c r="H14" s="118" t="s">
        <v>79</v>
      </c>
      <c r="I14" s="121"/>
      <c r="J14" s="122" t="s">
        <v>70</v>
      </c>
      <c r="K14" s="122" t="s">
        <v>70</v>
      </c>
      <c r="L14" s="122" t="s">
        <v>70</v>
      </c>
      <c r="M14" s="124"/>
      <c r="N14" s="125" t="s">
        <v>80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customFormat="false" ht="27.75" hidden="false" customHeight="true" outlineLevel="0" collapsed="false">
      <c r="A15" s="106" t="s">
        <v>73</v>
      </c>
      <c r="B15" s="116" t="n">
        <v>4</v>
      </c>
      <c r="C15" s="108" t="str">
        <f aca="false">CONCATENATE(A15,".",B15)</f>
        <v>PG 4.9.4</v>
      </c>
      <c r="D15" s="117" t="s">
        <v>81</v>
      </c>
      <c r="E15" s="118" t="s">
        <v>54</v>
      </c>
      <c r="F15" s="119"/>
      <c r="G15" s="120"/>
      <c r="H15" s="120"/>
      <c r="I15" s="126" t="s">
        <v>82</v>
      </c>
      <c r="J15" s="122" t="s">
        <v>70</v>
      </c>
      <c r="K15" s="122" t="s">
        <v>70</v>
      </c>
      <c r="L15" s="122" t="s">
        <v>70</v>
      </c>
      <c r="M15" s="124"/>
      <c r="N15" s="123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customFormat="false" ht="27.75" hidden="false" customHeight="true" outlineLevel="0" collapsed="false">
      <c r="A16" s="106" t="s">
        <v>73</v>
      </c>
      <c r="B16" s="116" t="n">
        <v>5</v>
      </c>
      <c r="C16" s="108" t="str">
        <f aca="false">CONCATENATE(A16,".",B16)</f>
        <v>PG 4.9.5</v>
      </c>
      <c r="D16" s="117" t="s">
        <v>83</v>
      </c>
      <c r="E16" s="118" t="s">
        <v>54</v>
      </c>
      <c r="F16" s="119"/>
      <c r="G16" s="120"/>
      <c r="H16" s="120"/>
      <c r="I16" s="126" t="s">
        <v>84</v>
      </c>
      <c r="J16" s="122" t="s">
        <v>70</v>
      </c>
      <c r="K16" s="122" t="s">
        <v>70</v>
      </c>
      <c r="L16" s="122" t="s">
        <v>70</v>
      </c>
      <c r="M16" s="124"/>
      <c r="N16" s="123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customFormat="false" ht="27.75" hidden="false" customHeight="true" outlineLevel="0" collapsed="false">
      <c r="A17" s="106"/>
      <c r="B17" s="127"/>
      <c r="C17" s="108" t="str">
        <f aca="false">CONCATENATE(A17,".",B17)</f>
        <v>.</v>
      </c>
      <c r="D17" s="129"/>
      <c r="E17" s="127"/>
      <c r="F17" s="119"/>
      <c r="G17" s="120"/>
      <c r="H17" s="120"/>
      <c r="I17" s="121"/>
      <c r="J17" s="124"/>
      <c r="K17" s="124"/>
      <c r="L17" s="124"/>
      <c r="M17" s="124"/>
      <c r="N17" s="123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customFormat="false" ht="27.75" hidden="false" customHeight="true" outlineLevel="0" collapsed="false">
      <c r="A18" s="106" t="s">
        <v>85</v>
      </c>
      <c r="B18" s="116" t="n">
        <v>1</v>
      </c>
      <c r="C18" s="108" t="str">
        <f aca="false">CONCATENATE(A18,".",B18)</f>
        <v>PG 4.22.1</v>
      </c>
      <c r="D18" s="117" t="s">
        <v>86</v>
      </c>
      <c r="E18" s="116" t="s">
        <v>54</v>
      </c>
      <c r="F18" s="130" t="s">
        <v>87</v>
      </c>
      <c r="G18" s="131"/>
      <c r="H18" s="131"/>
      <c r="I18" s="132"/>
      <c r="J18" s="122" t="s">
        <v>56</v>
      </c>
      <c r="K18" s="122" t="s">
        <v>56</v>
      </c>
      <c r="L18" s="122" t="s">
        <v>57</v>
      </c>
      <c r="M18" s="122"/>
      <c r="N18" s="125" t="s">
        <v>88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customFormat="false" ht="27.75" hidden="false" customHeight="true" outlineLevel="0" collapsed="false">
      <c r="A19" s="106" t="s">
        <v>85</v>
      </c>
      <c r="B19" s="116" t="n">
        <v>2</v>
      </c>
      <c r="C19" s="108" t="str">
        <f aca="false">CONCATENATE(A19,".",B19)</f>
        <v>PG 4.22.2</v>
      </c>
      <c r="D19" s="117" t="s">
        <v>89</v>
      </c>
      <c r="E19" s="116" t="s">
        <v>54</v>
      </c>
      <c r="F19" s="128" t="s">
        <v>90</v>
      </c>
      <c r="G19" s="120"/>
      <c r="H19" s="118" t="s">
        <v>90</v>
      </c>
      <c r="I19" s="121"/>
      <c r="J19" s="122" t="s">
        <v>57</v>
      </c>
      <c r="K19" s="122" t="s">
        <v>56</v>
      </c>
      <c r="L19" s="122" t="s">
        <v>67</v>
      </c>
      <c r="M19" s="124"/>
      <c r="N19" s="123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customFormat="false" ht="27.75" hidden="false" customHeight="true" outlineLevel="0" collapsed="false">
      <c r="A20" s="106" t="s">
        <v>85</v>
      </c>
      <c r="B20" s="116" t="n">
        <v>3</v>
      </c>
      <c r="C20" s="108" t="str">
        <f aca="false">CONCATENATE(A20,".",B20)</f>
        <v>PG 4.22.3</v>
      </c>
      <c r="D20" s="117" t="s">
        <v>91</v>
      </c>
      <c r="E20" s="116" t="s">
        <v>54</v>
      </c>
      <c r="F20" s="128"/>
      <c r="G20" s="118" t="s">
        <v>92</v>
      </c>
      <c r="H20" s="120"/>
      <c r="I20" s="126" t="s">
        <v>92</v>
      </c>
      <c r="J20" s="122" t="s">
        <v>56</v>
      </c>
      <c r="K20" s="122" t="s">
        <v>57</v>
      </c>
      <c r="L20" s="122" t="s">
        <v>67</v>
      </c>
      <c r="M20" s="122"/>
      <c r="N20" s="123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customFormat="false" ht="27.75" hidden="false" customHeight="true" outlineLevel="0" collapsed="false">
      <c r="A21" s="106"/>
      <c r="B21" s="127"/>
      <c r="C21" s="108" t="str">
        <f aca="false">CONCATENATE(A21,".",B21)</f>
        <v>.</v>
      </c>
      <c r="D21" s="129"/>
      <c r="E21" s="127"/>
      <c r="F21" s="119"/>
      <c r="G21" s="120"/>
      <c r="H21" s="120"/>
      <c r="I21" s="121"/>
      <c r="J21" s="124"/>
      <c r="K21" s="124"/>
      <c r="L21" s="124"/>
      <c r="M21" s="124"/>
      <c r="N21" s="123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customFormat="false" ht="27.75" hidden="false" customHeight="true" outlineLevel="0" collapsed="false">
      <c r="A22" s="106" t="s">
        <v>93</v>
      </c>
      <c r="B22" s="116" t="n">
        <v>1</v>
      </c>
      <c r="C22" s="108" t="str">
        <f aca="false">CONCATENATE(A22,".",B22)</f>
        <v>PG 4.7.1</v>
      </c>
      <c r="D22" s="117" t="s">
        <v>94</v>
      </c>
      <c r="E22" s="116" t="s">
        <v>54</v>
      </c>
      <c r="F22" s="128" t="s">
        <v>95</v>
      </c>
      <c r="G22" s="118" t="s">
        <v>95</v>
      </c>
      <c r="H22" s="118" t="s">
        <v>95</v>
      </c>
      <c r="I22" s="126" t="s">
        <v>95</v>
      </c>
      <c r="J22" s="122" t="s">
        <v>57</v>
      </c>
      <c r="K22" s="122" t="s">
        <v>57</v>
      </c>
      <c r="L22" s="122" t="s">
        <v>67</v>
      </c>
      <c r="M22" s="124"/>
      <c r="N22" s="125" t="s">
        <v>96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customFormat="false" ht="27.75" hidden="false" customHeight="true" outlineLevel="0" collapsed="false">
      <c r="A23" s="106"/>
      <c r="B23" s="127"/>
      <c r="C23" s="108" t="str">
        <f aca="false">CONCATENATE(A23,".",B23)</f>
        <v>.</v>
      </c>
      <c r="D23" s="129"/>
      <c r="E23" s="127"/>
      <c r="F23" s="119"/>
      <c r="G23" s="120"/>
      <c r="H23" s="120"/>
      <c r="I23" s="121"/>
      <c r="J23" s="124"/>
      <c r="K23" s="124"/>
      <c r="L23" s="122"/>
      <c r="M23" s="124"/>
      <c r="N23" s="123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customFormat="false" ht="27.75" hidden="false" customHeight="true" outlineLevel="0" collapsed="false">
      <c r="A24" s="106" t="s">
        <v>97</v>
      </c>
      <c r="B24" s="116" t="n">
        <v>1</v>
      </c>
      <c r="C24" s="108" t="str">
        <f aca="false">CONCATENATE(A24,".",B24)</f>
        <v>PDI 2.2.1</v>
      </c>
      <c r="D24" s="117" t="s">
        <v>98</v>
      </c>
      <c r="E24" s="116" t="s">
        <v>54</v>
      </c>
      <c r="F24" s="128"/>
      <c r="G24" s="118"/>
      <c r="H24" s="120"/>
      <c r="I24" s="126" t="s">
        <v>99</v>
      </c>
      <c r="J24" s="122" t="s">
        <v>56</v>
      </c>
      <c r="K24" s="122" t="s">
        <v>56</v>
      </c>
      <c r="L24" s="122" t="s">
        <v>67</v>
      </c>
      <c r="M24" s="122"/>
      <c r="N24" s="123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customFormat="false" ht="27.75" hidden="false" customHeight="true" outlineLevel="0" collapsed="false">
      <c r="A25" s="106"/>
      <c r="B25" s="127"/>
      <c r="C25" s="108" t="str">
        <f aca="false">CONCATENATE(A25,".",B25)</f>
        <v>.</v>
      </c>
      <c r="D25" s="129"/>
      <c r="E25" s="127"/>
      <c r="F25" s="133"/>
      <c r="G25" s="131"/>
      <c r="H25" s="131"/>
      <c r="I25" s="132"/>
      <c r="J25" s="124"/>
      <c r="K25" s="124"/>
      <c r="L25" s="124"/>
      <c r="M25" s="124"/>
      <c r="N25" s="123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customFormat="false" ht="27.75" hidden="false" customHeight="true" outlineLevel="0" collapsed="false">
      <c r="A26" s="106" t="s">
        <v>100</v>
      </c>
      <c r="B26" s="116" t="n">
        <v>1</v>
      </c>
      <c r="C26" s="108" t="str">
        <f aca="false">CONCATENATE(A26,".",B26)</f>
        <v>PDI 2.3.1</v>
      </c>
      <c r="D26" s="117" t="s">
        <v>101</v>
      </c>
      <c r="E26" s="116" t="s">
        <v>54</v>
      </c>
      <c r="F26" s="128" t="s">
        <v>102</v>
      </c>
      <c r="G26" s="120"/>
      <c r="H26" s="120"/>
      <c r="I26" s="121"/>
      <c r="J26" s="122" t="s">
        <v>57</v>
      </c>
      <c r="K26" s="122"/>
      <c r="L26" s="122"/>
      <c r="M26" s="122"/>
      <c r="N26" s="123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customFormat="false" ht="27.75" hidden="false" customHeight="true" outlineLevel="0" collapsed="false">
      <c r="A27" s="106"/>
      <c r="B27" s="127"/>
      <c r="C27" s="108" t="str">
        <f aca="false">CONCATENATE(A27,".",B27)</f>
        <v>.</v>
      </c>
      <c r="D27" s="129"/>
      <c r="E27" s="127"/>
      <c r="F27" s="119"/>
      <c r="G27" s="120"/>
      <c r="H27" s="120"/>
      <c r="I27" s="121"/>
      <c r="J27" s="124"/>
      <c r="K27" s="124"/>
      <c r="L27" s="124"/>
      <c r="M27" s="124"/>
      <c r="N27" s="123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customFormat="false" ht="27.75" hidden="false" customHeight="true" outlineLevel="0" collapsed="false">
      <c r="A28" s="106" t="s">
        <v>103</v>
      </c>
      <c r="B28" s="116" t="n">
        <v>1</v>
      </c>
      <c r="C28" s="108" t="str">
        <f aca="false">CONCATENATE(A28,".",B28)</f>
        <v>PDI 4.2.1</v>
      </c>
      <c r="D28" s="117" t="s">
        <v>104</v>
      </c>
      <c r="E28" s="116" t="s">
        <v>54</v>
      </c>
      <c r="F28" s="119"/>
      <c r="G28" s="120"/>
      <c r="H28" s="118" t="s">
        <v>105</v>
      </c>
      <c r="I28" s="121"/>
      <c r="J28" s="122" t="s">
        <v>56</v>
      </c>
      <c r="K28" s="122" t="s">
        <v>56</v>
      </c>
      <c r="L28" s="122" t="s">
        <v>57</v>
      </c>
      <c r="M28" s="124"/>
      <c r="N28" s="123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customFormat="false" ht="27.75" hidden="false" customHeight="true" outlineLevel="0" collapsed="false">
      <c r="A29" s="106" t="s">
        <v>103</v>
      </c>
      <c r="B29" s="116" t="n">
        <v>2</v>
      </c>
      <c r="C29" s="108" t="str">
        <f aca="false">CONCATENATE(A29,".",B29)</f>
        <v>PDI 4.2.2</v>
      </c>
      <c r="D29" s="117" t="s">
        <v>106</v>
      </c>
      <c r="E29" s="116" t="s">
        <v>54</v>
      </c>
      <c r="F29" s="119"/>
      <c r="G29" s="120"/>
      <c r="H29" s="118" t="s">
        <v>107</v>
      </c>
      <c r="I29" s="121"/>
      <c r="J29" s="122" t="s">
        <v>56</v>
      </c>
      <c r="K29" s="122" t="s">
        <v>56</v>
      </c>
      <c r="L29" s="122" t="s">
        <v>57</v>
      </c>
      <c r="M29" s="124"/>
      <c r="N29" s="125" t="s">
        <v>108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customFormat="false" ht="27.75" hidden="false" customHeight="true" outlineLevel="0" collapsed="false">
      <c r="A30" s="106" t="s">
        <v>103</v>
      </c>
      <c r="B30" s="116" t="n">
        <v>3</v>
      </c>
      <c r="C30" s="108" t="str">
        <f aca="false">CONCATENATE(A30,".",B30)</f>
        <v>PDI 4.2.3</v>
      </c>
      <c r="D30" s="117" t="s">
        <v>109</v>
      </c>
      <c r="E30" s="116" t="s">
        <v>54</v>
      </c>
      <c r="F30" s="119"/>
      <c r="G30" s="120"/>
      <c r="H30" s="120"/>
      <c r="I30" s="126" t="s">
        <v>110</v>
      </c>
      <c r="J30" s="122" t="s">
        <v>56</v>
      </c>
      <c r="K30" s="122" t="s">
        <v>56</v>
      </c>
      <c r="L30" s="122" t="s">
        <v>67</v>
      </c>
      <c r="M30" s="124"/>
      <c r="N30" s="123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customFormat="false" ht="27.75" hidden="false" customHeight="true" outlineLevel="0" collapsed="false">
      <c r="A31" s="106"/>
      <c r="B31" s="127"/>
      <c r="C31" s="108" t="str">
        <f aca="false">CONCATENATE(A31,".",B31)</f>
        <v>.</v>
      </c>
      <c r="D31" s="129"/>
      <c r="E31" s="127"/>
      <c r="F31" s="119"/>
      <c r="G31" s="120"/>
      <c r="H31" s="120"/>
      <c r="I31" s="121"/>
      <c r="J31" s="124"/>
      <c r="K31" s="124"/>
      <c r="L31" s="124"/>
      <c r="M31" s="124"/>
      <c r="N31" s="123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customFormat="false" ht="27.75" hidden="false" customHeight="true" outlineLevel="0" collapsed="false">
      <c r="A32" s="106" t="s">
        <v>111</v>
      </c>
      <c r="B32" s="116" t="n">
        <v>1</v>
      </c>
      <c r="C32" s="108" t="str">
        <f aca="false">CONCATENATE(A32,".",B32)</f>
        <v>PDI 5.1.1</v>
      </c>
      <c r="D32" s="117" t="s">
        <v>112</v>
      </c>
      <c r="E32" s="116" t="s">
        <v>54</v>
      </c>
      <c r="F32" s="119"/>
      <c r="G32" s="120"/>
      <c r="H32" s="118" t="s">
        <v>113</v>
      </c>
      <c r="I32" s="121"/>
      <c r="J32" s="122" t="s">
        <v>56</v>
      </c>
      <c r="K32" s="122" t="s">
        <v>56</v>
      </c>
      <c r="L32" s="122" t="s">
        <v>57</v>
      </c>
      <c r="M32" s="124"/>
      <c r="N32" s="125" t="s">
        <v>114</v>
      </c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customFormat="false" ht="27.75" hidden="false" customHeight="true" outlineLevel="0" collapsed="false">
      <c r="A33" s="106"/>
      <c r="B33" s="127"/>
      <c r="C33" s="108" t="str">
        <f aca="false">CONCATENATE(A33,".",B33)</f>
        <v>.</v>
      </c>
      <c r="D33" s="129"/>
      <c r="E33" s="127"/>
      <c r="F33" s="119"/>
      <c r="G33" s="120"/>
      <c r="H33" s="120"/>
      <c r="I33" s="121"/>
      <c r="J33" s="124"/>
      <c r="K33" s="124"/>
      <c r="L33" s="124"/>
      <c r="M33" s="124"/>
      <c r="N33" s="125" t="s">
        <v>115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customFormat="false" ht="27.75" hidden="false" customHeight="true" outlineLevel="0" collapsed="false">
      <c r="A34" s="106" t="s">
        <v>116</v>
      </c>
      <c r="B34" s="116" t="n">
        <v>1</v>
      </c>
      <c r="C34" s="108" t="str">
        <f aca="false">CONCATENATE(A34,".",B34)</f>
        <v>PG 1.1.1</v>
      </c>
      <c r="D34" s="117" t="s">
        <v>117</v>
      </c>
      <c r="E34" s="116" t="s">
        <v>54</v>
      </c>
      <c r="F34" s="119"/>
      <c r="G34" s="120"/>
      <c r="H34" s="120"/>
      <c r="I34" s="126" t="s">
        <v>118</v>
      </c>
      <c r="J34" s="122" t="s">
        <v>56</v>
      </c>
      <c r="K34" s="122" t="s">
        <v>56</v>
      </c>
      <c r="L34" s="122" t="s">
        <v>70</v>
      </c>
      <c r="M34" s="124"/>
      <c r="N34" s="123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customFormat="false" ht="27.75" hidden="false" customHeight="true" outlineLevel="0" collapsed="false">
      <c r="A35" s="106"/>
      <c r="B35" s="127"/>
      <c r="C35" s="108" t="str">
        <f aca="false">CONCATENATE(A35,".",B35)</f>
        <v>.</v>
      </c>
      <c r="D35" s="129"/>
      <c r="E35" s="127"/>
      <c r="F35" s="134"/>
      <c r="G35" s="135"/>
      <c r="H35" s="135"/>
      <c r="I35" s="136"/>
      <c r="J35" s="124"/>
      <c r="K35" s="124"/>
      <c r="L35" s="124"/>
      <c r="M35" s="124"/>
      <c r="N35" s="123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customFormat="false" ht="27.75" hidden="false" customHeight="true" outlineLevel="0" collapsed="false">
      <c r="A36" s="106" t="s">
        <v>119</v>
      </c>
      <c r="B36" s="116" t="n">
        <v>1</v>
      </c>
      <c r="C36" s="108" t="str">
        <f aca="false">CONCATENATE(A36,".",B36)</f>
        <v>PG 4.6.1</v>
      </c>
      <c r="D36" s="117" t="s">
        <v>120</v>
      </c>
      <c r="E36" s="116" t="s">
        <v>54</v>
      </c>
      <c r="F36" s="128" t="s">
        <v>121</v>
      </c>
      <c r="G36" s="118"/>
      <c r="H36" s="118" t="s">
        <v>121</v>
      </c>
      <c r="I36" s="121"/>
      <c r="J36" s="122" t="s">
        <v>57</v>
      </c>
      <c r="K36" s="122" t="s">
        <v>56</v>
      </c>
      <c r="L36" s="122" t="s">
        <v>57</v>
      </c>
      <c r="M36" s="124"/>
      <c r="N36" s="125" t="s">
        <v>122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customFormat="false" ht="27.75" hidden="false" customHeight="true" outlineLevel="0" collapsed="false">
      <c r="A37" s="106" t="s">
        <v>119</v>
      </c>
      <c r="B37" s="116" t="n">
        <v>2</v>
      </c>
      <c r="C37" s="108" t="str">
        <f aca="false">CONCATENATE(A37,".",B37)</f>
        <v>PG 4.6.2</v>
      </c>
      <c r="D37" s="117" t="s">
        <v>123</v>
      </c>
      <c r="E37" s="116" t="s">
        <v>54</v>
      </c>
      <c r="F37" s="128" t="s">
        <v>45</v>
      </c>
      <c r="G37" s="120"/>
      <c r="H37" s="118" t="s">
        <v>45</v>
      </c>
      <c r="I37" s="121"/>
      <c r="J37" s="122" t="s">
        <v>57</v>
      </c>
      <c r="K37" s="122" t="s">
        <v>56</v>
      </c>
      <c r="L37" s="122" t="s">
        <v>57</v>
      </c>
      <c r="M37" s="124"/>
      <c r="N37" s="123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customFormat="false" ht="27.75" hidden="false" customHeight="true" outlineLevel="0" collapsed="false">
      <c r="A38" s="106" t="s">
        <v>119</v>
      </c>
      <c r="B38" s="116" t="n">
        <v>3</v>
      </c>
      <c r="C38" s="108" t="str">
        <f aca="false">CONCATENATE(A38,".",B38)</f>
        <v>PG 4.6.3</v>
      </c>
      <c r="D38" s="117" t="s">
        <v>124</v>
      </c>
      <c r="E38" s="116" t="s">
        <v>54</v>
      </c>
      <c r="F38" s="119"/>
      <c r="G38" s="118" t="s">
        <v>125</v>
      </c>
      <c r="H38" s="120"/>
      <c r="I38" s="126" t="s">
        <v>125</v>
      </c>
      <c r="J38" s="122" t="s">
        <v>56</v>
      </c>
      <c r="K38" s="122" t="s">
        <v>57</v>
      </c>
      <c r="L38" s="122" t="s">
        <v>67</v>
      </c>
      <c r="M38" s="124"/>
      <c r="N38" s="123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customFormat="false" ht="27.75" hidden="false" customHeight="true" outlineLevel="0" collapsed="false">
      <c r="A39" s="106"/>
      <c r="B39" s="116"/>
      <c r="C39" s="108" t="str">
        <f aca="false">CONCATENATE(A39,".",B39)</f>
        <v>.</v>
      </c>
      <c r="D39" s="129"/>
      <c r="E39" s="116"/>
      <c r="F39" s="133"/>
      <c r="G39" s="131"/>
      <c r="H39" s="131"/>
      <c r="I39" s="132"/>
      <c r="J39" s="124"/>
      <c r="K39" s="124"/>
      <c r="L39" s="124"/>
      <c r="M39" s="124"/>
      <c r="N39" s="123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customFormat="false" ht="27.75" hidden="false" customHeight="true" outlineLevel="0" collapsed="false">
      <c r="A40" s="106" t="s">
        <v>126</v>
      </c>
      <c r="B40" s="116" t="n">
        <v>1</v>
      </c>
      <c r="C40" s="108" t="str">
        <f aca="false">CONCATENATE(A40,".",B40)</f>
        <v>PG 4.28.1</v>
      </c>
      <c r="D40" s="117" t="s">
        <v>127</v>
      </c>
      <c r="E40" s="116" t="s">
        <v>54</v>
      </c>
      <c r="F40" s="119"/>
      <c r="G40" s="120"/>
      <c r="H40" s="118" t="s">
        <v>128</v>
      </c>
      <c r="I40" s="121"/>
      <c r="J40" s="122" t="s">
        <v>56</v>
      </c>
      <c r="K40" s="122" t="s">
        <v>56</v>
      </c>
      <c r="L40" s="122" t="s">
        <v>57</v>
      </c>
      <c r="M40" s="124"/>
      <c r="N40" s="125" t="s">
        <v>129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customFormat="false" ht="27.75" hidden="false" customHeight="true" outlineLevel="0" collapsed="false">
      <c r="A41" s="106" t="s">
        <v>126</v>
      </c>
      <c r="B41" s="116" t="n">
        <v>2</v>
      </c>
      <c r="C41" s="108" t="str">
        <f aca="false">CONCATENATE(A41,".",B41)</f>
        <v>PG 4.28.2</v>
      </c>
      <c r="D41" s="117" t="s">
        <v>130</v>
      </c>
      <c r="E41" s="116" t="s">
        <v>54</v>
      </c>
      <c r="F41" s="119"/>
      <c r="G41" s="120"/>
      <c r="H41" s="118" t="s">
        <v>131</v>
      </c>
      <c r="I41" s="121"/>
      <c r="J41" s="122" t="s">
        <v>56</v>
      </c>
      <c r="K41" s="122" t="s">
        <v>56</v>
      </c>
      <c r="L41" s="122" t="s">
        <v>57</v>
      </c>
      <c r="M41" s="124"/>
      <c r="N41" s="123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customFormat="false" ht="27.75" hidden="false" customHeight="true" outlineLevel="0" collapsed="false">
      <c r="A42" s="106" t="s">
        <v>126</v>
      </c>
      <c r="B42" s="116" t="n">
        <v>3</v>
      </c>
      <c r="C42" s="108" t="str">
        <f aca="false">CONCATENATE(A42,".",B42)</f>
        <v>PG 4.28.3</v>
      </c>
      <c r="D42" s="117" t="s">
        <v>132</v>
      </c>
      <c r="E42" s="116" t="s">
        <v>54</v>
      </c>
      <c r="F42" s="119"/>
      <c r="G42" s="120"/>
      <c r="H42" s="118" t="s">
        <v>133</v>
      </c>
      <c r="I42" s="121"/>
      <c r="J42" s="122" t="s">
        <v>56</v>
      </c>
      <c r="K42" s="122" t="s">
        <v>56</v>
      </c>
      <c r="L42" s="122" t="s">
        <v>57</v>
      </c>
      <c r="M42" s="124"/>
      <c r="N42" s="125" t="s">
        <v>134</v>
      </c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customFormat="false" ht="27.75" hidden="false" customHeight="true" outlineLevel="0" collapsed="false">
      <c r="A43" s="106"/>
      <c r="B43" s="127"/>
      <c r="C43" s="108" t="str">
        <f aca="false">CONCATENATE(A43,".",B43)</f>
        <v>.</v>
      </c>
      <c r="D43" s="129"/>
      <c r="E43" s="127"/>
      <c r="F43" s="134"/>
      <c r="G43" s="135"/>
      <c r="H43" s="135"/>
      <c r="I43" s="136"/>
      <c r="J43" s="124"/>
      <c r="K43" s="124"/>
      <c r="L43" s="124"/>
      <c r="M43" s="124"/>
      <c r="N43" s="123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customFormat="false" ht="27.75" hidden="false" customHeight="true" outlineLevel="0" collapsed="false">
      <c r="A44" s="106" t="s">
        <v>135</v>
      </c>
      <c r="B44" s="116" t="n">
        <v>1</v>
      </c>
      <c r="C44" s="108" t="str">
        <f aca="false">CONCATENATE(A44,".",B44)</f>
        <v>PG 4.32.1</v>
      </c>
      <c r="D44" s="117" t="s">
        <v>136</v>
      </c>
      <c r="E44" s="116" t="s">
        <v>54</v>
      </c>
      <c r="F44" s="128" t="s">
        <v>137</v>
      </c>
      <c r="G44" s="120"/>
      <c r="H44" s="118" t="s">
        <v>137</v>
      </c>
      <c r="I44" s="121"/>
      <c r="J44" s="122" t="s">
        <v>57</v>
      </c>
      <c r="K44" s="122" t="s">
        <v>56</v>
      </c>
      <c r="L44" s="122" t="s">
        <v>57</v>
      </c>
      <c r="M44" s="124"/>
      <c r="N44" s="123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customFormat="false" ht="27.75" hidden="false" customHeight="true" outlineLevel="0" collapsed="false">
      <c r="A45" s="106" t="s">
        <v>135</v>
      </c>
      <c r="B45" s="116" t="n">
        <v>2</v>
      </c>
      <c r="C45" s="108" t="str">
        <f aca="false">CONCATENATE(A45,".",B45)</f>
        <v>PG 4.32.2</v>
      </c>
      <c r="D45" s="117" t="s">
        <v>138</v>
      </c>
      <c r="E45" s="116" t="s">
        <v>54</v>
      </c>
      <c r="F45" s="128" t="s">
        <v>137</v>
      </c>
      <c r="G45" s="120"/>
      <c r="H45" s="118" t="s">
        <v>137</v>
      </c>
      <c r="I45" s="121"/>
      <c r="J45" s="122" t="s">
        <v>57</v>
      </c>
      <c r="K45" s="122" t="s">
        <v>56</v>
      </c>
      <c r="L45" s="122" t="s">
        <v>57</v>
      </c>
      <c r="M45" s="122"/>
      <c r="N45" s="123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customFormat="false" ht="27.75" hidden="false" customHeight="true" outlineLevel="0" collapsed="false">
      <c r="A46" s="106" t="s">
        <v>135</v>
      </c>
      <c r="B46" s="116" t="n">
        <v>3</v>
      </c>
      <c r="C46" s="108" t="str">
        <f aca="false">CONCATENATE(A46,".",B46)</f>
        <v>PG 4.32.3</v>
      </c>
      <c r="D46" s="117" t="s">
        <v>139</v>
      </c>
      <c r="E46" s="116" t="s">
        <v>54</v>
      </c>
      <c r="F46" s="119"/>
      <c r="G46" s="118" t="s">
        <v>140</v>
      </c>
      <c r="H46" s="120"/>
      <c r="I46" s="126" t="s">
        <v>140</v>
      </c>
      <c r="J46" s="122" t="s">
        <v>56</v>
      </c>
      <c r="K46" s="122" t="s">
        <v>56</v>
      </c>
      <c r="L46" s="122" t="s">
        <v>57</v>
      </c>
      <c r="M46" s="122"/>
      <c r="N46" s="125" t="s">
        <v>141</v>
      </c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47" customFormat="false" ht="27.75" hidden="false" customHeight="true" outlineLevel="0" collapsed="false">
      <c r="A47" s="106"/>
      <c r="B47" s="127"/>
      <c r="C47" s="108" t="str">
        <f aca="false">CONCATENATE(A47,".",B47)</f>
        <v>.</v>
      </c>
      <c r="D47" s="129"/>
      <c r="E47" s="127"/>
      <c r="F47" s="133"/>
      <c r="G47" s="131"/>
      <c r="H47" s="131"/>
      <c r="I47" s="132"/>
      <c r="J47" s="124"/>
      <c r="K47" s="124"/>
      <c r="L47" s="124"/>
      <c r="M47" s="124"/>
      <c r="N47" s="123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customFormat="false" ht="27.75" hidden="false" customHeight="true" outlineLevel="0" collapsed="false">
      <c r="A48" s="106" t="s">
        <v>142</v>
      </c>
      <c r="B48" s="116" t="n">
        <v>1</v>
      </c>
      <c r="C48" s="108" t="str">
        <f aca="false">CONCATENATE(A48,".",B48)</f>
        <v>PG 4.33.1</v>
      </c>
      <c r="D48" s="117" t="s">
        <v>143</v>
      </c>
      <c r="E48" s="116" t="s">
        <v>54</v>
      </c>
      <c r="F48" s="119"/>
      <c r="G48" s="120"/>
      <c r="H48" s="118" t="s">
        <v>144</v>
      </c>
      <c r="I48" s="121"/>
      <c r="J48" s="122" t="s">
        <v>70</v>
      </c>
      <c r="K48" s="122" t="s">
        <v>70</v>
      </c>
      <c r="L48" s="122" t="s">
        <v>57</v>
      </c>
      <c r="M48" s="124"/>
      <c r="N48" s="123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customFormat="false" ht="27.75" hidden="false" customHeight="true" outlineLevel="0" collapsed="false">
      <c r="A49" s="106" t="s">
        <v>142</v>
      </c>
      <c r="B49" s="116" t="n">
        <v>2</v>
      </c>
      <c r="C49" s="108" t="str">
        <f aca="false">CONCATENATE(A49,".",B49)</f>
        <v>PG 4.33.2</v>
      </c>
      <c r="D49" s="117" t="s">
        <v>145</v>
      </c>
      <c r="E49" s="116" t="s">
        <v>54</v>
      </c>
      <c r="F49" s="119"/>
      <c r="G49" s="120"/>
      <c r="H49" s="118" t="s">
        <v>146</v>
      </c>
      <c r="I49" s="121"/>
      <c r="J49" s="122" t="s">
        <v>70</v>
      </c>
      <c r="K49" s="122" t="s">
        <v>70</v>
      </c>
      <c r="L49" s="122" t="s">
        <v>57</v>
      </c>
      <c r="M49" s="124"/>
      <c r="N49" s="123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</row>
    <row r="50" customFormat="false" ht="27.75" hidden="false" customHeight="true" outlineLevel="0" collapsed="false">
      <c r="A50" s="106" t="s">
        <v>142</v>
      </c>
      <c r="B50" s="116" t="n">
        <v>3</v>
      </c>
      <c r="C50" s="137" t="str">
        <f aca="false">CONCATENATE(A50,".",B50)</f>
        <v>PG 4.33.3</v>
      </c>
      <c r="D50" s="117" t="s">
        <v>147</v>
      </c>
      <c r="E50" s="116" t="s">
        <v>54</v>
      </c>
      <c r="F50" s="119"/>
      <c r="G50" s="120"/>
      <c r="H50" s="118" t="s">
        <v>148</v>
      </c>
      <c r="I50" s="121"/>
      <c r="J50" s="122" t="s">
        <v>70</v>
      </c>
      <c r="K50" s="122" t="s">
        <v>70</v>
      </c>
      <c r="L50" s="122" t="s">
        <v>57</v>
      </c>
      <c r="M50" s="124"/>
      <c r="N50" s="125" t="s">
        <v>149</v>
      </c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</row>
    <row r="51" customFormat="false" ht="27.75" hidden="false" customHeight="true" outlineLevel="0" collapsed="false">
      <c r="A51" s="106" t="s">
        <v>142</v>
      </c>
      <c r="B51" s="116" t="n">
        <v>4</v>
      </c>
      <c r="C51" s="137" t="str">
        <f aca="false">CONCATENATE(A51,".",B51)</f>
        <v>PG 4.33.4</v>
      </c>
      <c r="D51" s="117" t="s">
        <v>150</v>
      </c>
      <c r="E51" s="116" t="s">
        <v>54</v>
      </c>
      <c r="F51" s="119"/>
      <c r="G51" s="120"/>
      <c r="H51" s="120"/>
      <c r="I51" s="126" t="s">
        <v>151</v>
      </c>
      <c r="J51" s="122" t="s">
        <v>70</v>
      </c>
      <c r="K51" s="122" t="s">
        <v>70</v>
      </c>
      <c r="L51" s="122" t="s">
        <v>67</v>
      </c>
      <c r="M51" s="124"/>
      <c r="N51" s="123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customFormat="false" ht="27.75" hidden="false" customHeight="true" outlineLevel="0" collapsed="false">
      <c r="A52" s="106" t="s">
        <v>142</v>
      </c>
      <c r="B52" s="116" t="n">
        <v>5</v>
      </c>
      <c r="C52" s="137" t="str">
        <f aca="false">CONCATENATE(A52,".",B52)</f>
        <v>PG 4.33.5</v>
      </c>
      <c r="D52" s="117" t="s">
        <v>152</v>
      </c>
      <c r="E52" s="116" t="s">
        <v>54</v>
      </c>
      <c r="F52" s="128"/>
      <c r="G52" s="120"/>
      <c r="H52" s="118" t="s">
        <v>153</v>
      </c>
      <c r="I52" s="121"/>
      <c r="J52" s="122" t="s">
        <v>70</v>
      </c>
      <c r="K52" s="122" t="s">
        <v>70</v>
      </c>
      <c r="L52" s="122" t="s">
        <v>57</v>
      </c>
      <c r="M52" s="124"/>
      <c r="N52" s="125" t="s">
        <v>154</v>
      </c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customFormat="false" ht="27.75" hidden="false" customHeight="true" outlineLevel="0" collapsed="false">
      <c r="A53" s="106"/>
      <c r="B53" s="127"/>
      <c r="C53" s="137" t="str">
        <f aca="false">CONCATENATE(A53,".",B53)</f>
        <v>.</v>
      </c>
      <c r="D53" s="129"/>
      <c r="E53" s="127"/>
      <c r="F53" s="119"/>
      <c r="G53" s="120"/>
      <c r="H53" s="120"/>
      <c r="I53" s="121"/>
      <c r="J53" s="124"/>
      <c r="K53" s="124"/>
      <c r="L53" s="124"/>
      <c r="M53" s="124"/>
      <c r="N53" s="12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</row>
    <row r="54" customFormat="false" ht="27.75" hidden="false" customHeight="true" outlineLevel="0" collapsed="false">
      <c r="A54" s="106"/>
      <c r="B54" s="127"/>
      <c r="C54" s="137" t="str">
        <f aca="false">CONCATENATE(A54,".",B54)</f>
        <v>.</v>
      </c>
      <c r="D54" s="129"/>
      <c r="E54" s="127"/>
      <c r="F54" s="119"/>
      <c r="G54" s="120"/>
      <c r="H54" s="120"/>
      <c r="I54" s="121"/>
      <c r="J54" s="124"/>
      <c r="K54" s="124"/>
      <c r="L54" s="124"/>
      <c r="M54" s="124"/>
      <c r="N54" s="123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customFormat="false" ht="27.75" hidden="false" customHeight="true" outlineLevel="0" collapsed="false">
      <c r="A55" s="106"/>
      <c r="B55" s="127"/>
      <c r="C55" s="137" t="str">
        <f aca="false">CONCATENATE(A55,".",B55)</f>
        <v>.</v>
      </c>
      <c r="D55" s="129"/>
      <c r="E55" s="127"/>
      <c r="F55" s="119"/>
      <c r="G55" s="120"/>
      <c r="H55" s="120"/>
      <c r="I55" s="121"/>
      <c r="J55" s="124"/>
      <c r="K55" s="124"/>
      <c r="L55" s="124"/>
      <c r="M55" s="124"/>
      <c r="N55" s="123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customFormat="false" ht="27.75" hidden="false" customHeight="true" outlineLevel="0" collapsed="false">
      <c r="A56" s="106"/>
      <c r="B56" s="127"/>
      <c r="C56" s="137" t="str">
        <f aca="false">CONCATENATE(A56,".",B56)</f>
        <v>.</v>
      </c>
      <c r="D56" s="129"/>
      <c r="E56" s="127"/>
      <c r="F56" s="119"/>
      <c r="G56" s="120"/>
      <c r="H56" s="120"/>
      <c r="I56" s="121"/>
      <c r="J56" s="124"/>
      <c r="K56" s="124"/>
      <c r="L56" s="124"/>
      <c r="M56" s="124"/>
      <c r="N56" s="123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customFormat="false" ht="27.75" hidden="false" customHeight="true" outlineLevel="0" collapsed="false">
      <c r="A57" s="106"/>
      <c r="B57" s="127"/>
      <c r="C57" s="137" t="str">
        <f aca="false">CONCATENATE(A57,".",B57)</f>
        <v>.</v>
      </c>
      <c r="D57" s="129"/>
      <c r="E57" s="127"/>
      <c r="F57" s="119"/>
      <c r="G57" s="120"/>
      <c r="H57" s="120"/>
      <c r="I57" s="121"/>
      <c r="J57" s="124"/>
      <c r="K57" s="124"/>
      <c r="L57" s="124"/>
      <c r="M57" s="124"/>
      <c r="N57" s="123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customFormat="false" ht="27.75" hidden="false" customHeight="true" outlineLevel="0" collapsed="false">
      <c r="A58" s="106"/>
      <c r="B58" s="127"/>
      <c r="C58" s="137" t="str">
        <f aca="false">CONCATENATE(A58,".",B58)</f>
        <v>.</v>
      </c>
      <c r="D58" s="129"/>
      <c r="E58" s="127"/>
      <c r="F58" s="119"/>
      <c r="G58" s="120"/>
      <c r="H58" s="120"/>
      <c r="I58" s="121"/>
      <c r="J58" s="124"/>
      <c r="K58" s="124"/>
      <c r="L58" s="124"/>
      <c r="M58" s="124"/>
      <c r="N58" s="123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customFormat="false" ht="27.75" hidden="false" customHeight="true" outlineLevel="0" collapsed="false">
      <c r="A59" s="106"/>
      <c r="B59" s="127"/>
      <c r="C59" s="137" t="str">
        <f aca="false">CONCATENATE(A59,".",B59)</f>
        <v>.</v>
      </c>
      <c r="D59" s="129"/>
      <c r="E59" s="127"/>
      <c r="F59" s="119"/>
      <c r="G59" s="120"/>
      <c r="H59" s="120"/>
      <c r="I59" s="121"/>
      <c r="J59" s="124"/>
      <c r="K59" s="124"/>
      <c r="L59" s="124"/>
      <c r="M59" s="124"/>
      <c r="N59" s="123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customFormat="false" ht="27.75" hidden="false" customHeight="true" outlineLevel="0" collapsed="false">
      <c r="A60" s="106"/>
      <c r="B60" s="127"/>
      <c r="C60" s="137" t="str">
        <f aca="false">CONCATENATE(A60,".",B60)</f>
        <v>.</v>
      </c>
      <c r="D60" s="129"/>
      <c r="E60" s="127"/>
      <c r="F60" s="119"/>
      <c r="G60" s="120"/>
      <c r="H60" s="120"/>
      <c r="I60" s="121"/>
      <c r="J60" s="124"/>
      <c r="K60" s="124"/>
      <c r="L60" s="124"/>
      <c r="M60" s="124"/>
      <c r="N60" s="123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customFormat="false" ht="27.75" hidden="false" customHeight="true" outlineLevel="0" collapsed="false">
      <c r="A61" s="106"/>
      <c r="B61" s="127"/>
      <c r="C61" s="137" t="str">
        <f aca="false">CONCATENATE(A61,".",B61)</f>
        <v>.</v>
      </c>
      <c r="D61" s="129"/>
      <c r="E61" s="127"/>
      <c r="F61" s="119"/>
      <c r="G61" s="120"/>
      <c r="H61" s="120"/>
      <c r="I61" s="121"/>
      <c r="J61" s="124"/>
      <c r="K61" s="124"/>
      <c r="L61" s="124"/>
      <c r="M61" s="124"/>
      <c r="N61" s="123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customFormat="false" ht="27.75" hidden="false" customHeight="true" outlineLevel="0" collapsed="false">
      <c r="A62" s="106"/>
      <c r="B62" s="127"/>
      <c r="C62" s="137" t="str">
        <f aca="false">CONCATENATE(A62,".",B62)</f>
        <v>.</v>
      </c>
      <c r="D62" s="129"/>
      <c r="E62" s="127"/>
      <c r="F62" s="119"/>
      <c r="G62" s="120"/>
      <c r="H62" s="120"/>
      <c r="I62" s="121"/>
      <c r="J62" s="124"/>
      <c r="K62" s="124"/>
      <c r="L62" s="124"/>
      <c r="M62" s="124"/>
      <c r="N62" s="12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</row>
    <row r="63" customFormat="false" ht="27.75" hidden="false" customHeight="true" outlineLevel="0" collapsed="false">
      <c r="A63" s="106"/>
      <c r="B63" s="127"/>
      <c r="C63" s="137" t="str">
        <f aca="false">CONCATENATE(A63,".",B63)</f>
        <v>.</v>
      </c>
      <c r="D63" s="129"/>
      <c r="E63" s="127"/>
      <c r="F63" s="119"/>
      <c r="G63" s="120"/>
      <c r="H63" s="120"/>
      <c r="I63" s="121"/>
      <c r="J63" s="124"/>
      <c r="K63" s="124"/>
      <c r="L63" s="124"/>
      <c r="M63" s="124"/>
      <c r="N63" s="123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</row>
    <row r="64" customFormat="false" ht="27.75" hidden="false" customHeight="true" outlineLevel="0" collapsed="false">
      <c r="A64" s="106"/>
      <c r="B64" s="127"/>
      <c r="C64" s="137" t="str">
        <f aca="false">CONCATENATE(A64,".",B64)</f>
        <v>.</v>
      </c>
      <c r="D64" s="129"/>
      <c r="E64" s="127"/>
      <c r="F64" s="119"/>
      <c r="G64" s="120"/>
      <c r="H64" s="120"/>
      <c r="I64" s="121"/>
      <c r="J64" s="124"/>
      <c r="K64" s="124"/>
      <c r="L64" s="124"/>
      <c r="M64" s="124"/>
      <c r="N64" s="123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</row>
    <row r="65" customFormat="false" ht="27.75" hidden="false" customHeight="true" outlineLevel="0" collapsed="false">
      <c r="A65" s="106"/>
      <c r="B65" s="127"/>
      <c r="C65" s="137" t="str">
        <f aca="false">CONCATENATE(A65,".",B65)</f>
        <v>.</v>
      </c>
      <c r="D65" s="129"/>
      <c r="E65" s="127"/>
      <c r="F65" s="119"/>
      <c r="G65" s="120"/>
      <c r="H65" s="120"/>
      <c r="I65" s="121"/>
      <c r="J65" s="124"/>
      <c r="K65" s="124"/>
      <c r="L65" s="124"/>
      <c r="M65" s="124"/>
      <c r="N65" s="123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</row>
    <row r="66" customFormat="false" ht="27.75" hidden="false" customHeight="true" outlineLevel="0" collapsed="false">
      <c r="A66" s="106"/>
      <c r="B66" s="127"/>
      <c r="C66" s="137" t="str">
        <f aca="false">CONCATENATE(A66,".",B66)</f>
        <v>.</v>
      </c>
      <c r="D66" s="129"/>
      <c r="E66" s="127"/>
      <c r="F66" s="119"/>
      <c r="G66" s="120"/>
      <c r="H66" s="120"/>
      <c r="I66" s="121"/>
      <c r="J66" s="124"/>
      <c r="K66" s="124"/>
      <c r="L66" s="124"/>
      <c r="M66" s="124"/>
      <c r="N66" s="12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</row>
    <row r="67" customFormat="false" ht="27.75" hidden="false" customHeight="true" outlineLevel="0" collapsed="false">
      <c r="A67" s="106"/>
      <c r="B67" s="127"/>
      <c r="C67" s="137" t="str">
        <f aca="false">CONCATENATE(A67,".",B67)</f>
        <v>.</v>
      </c>
      <c r="D67" s="129"/>
      <c r="E67" s="127"/>
      <c r="F67" s="119"/>
      <c r="G67" s="120"/>
      <c r="H67" s="120"/>
      <c r="I67" s="121"/>
      <c r="J67" s="124"/>
      <c r="K67" s="124"/>
      <c r="L67" s="124"/>
      <c r="M67" s="124"/>
      <c r="N67" s="12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customFormat="false" ht="27.75" hidden="false" customHeight="true" outlineLevel="0" collapsed="false">
      <c r="A68" s="106"/>
      <c r="B68" s="127"/>
      <c r="C68" s="137" t="str">
        <f aca="false">CONCATENATE(A68,".",B68)</f>
        <v>.</v>
      </c>
      <c r="D68" s="129"/>
      <c r="E68" s="127"/>
      <c r="F68" s="119"/>
      <c r="G68" s="120"/>
      <c r="H68" s="120"/>
      <c r="I68" s="121"/>
      <c r="J68" s="124"/>
      <c r="K68" s="124"/>
      <c r="L68" s="124"/>
      <c r="M68" s="124"/>
      <c r="N68" s="12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customFormat="false" ht="27.75" hidden="false" customHeight="true" outlineLevel="0" collapsed="false">
      <c r="A69" s="106"/>
      <c r="B69" s="127"/>
      <c r="C69" s="137" t="str">
        <f aca="false">CONCATENATE(A69,".",B69)</f>
        <v>.</v>
      </c>
      <c r="D69" s="129"/>
      <c r="E69" s="127"/>
      <c r="F69" s="119"/>
      <c r="G69" s="120"/>
      <c r="H69" s="120"/>
      <c r="I69" s="121"/>
      <c r="J69" s="124"/>
      <c r="K69" s="124"/>
      <c r="L69" s="124"/>
      <c r="M69" s="124"/>
      <c r="N69" s="123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customFormat="false" ht="27.75" hidden="false" customHeight="true" outlineLevel="0" collapsed="false">
      <c r="A70" s="106"/>
      <c r="B70" s="127"/>
      <c r="C70" s="137" t="str">
        <f aca="false">CONCATENATE(A70,".",B70)</f>
        <v>.</v>
      </c>
      <c r="D70" s="129"/>
      <c r="E70" s="127"/>
      <c r="F70" s="119"/>
      <c r="G70" s="120"/>
      <c r="H70" s="120"/>
      <c r="I70" s="121"/>
      <c r="J70" s="124"/>
      <c r="K70" s="124"/>
      <c r="L70" s="124"/>
      <c r="M70" s="124"/>
      <c r="N70" s="12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customFormat="false" ht="27.75" hidden="false" customHeight="true" outlineLevel="0" collapsed="false">
      <c r="A71" s="106"/>
      <c r="B71" s="127"/>
      <c r="C71" s="137" t="str">
        <f aca="false">CONCATENATE(A71,".",B71)</f>
        <v>.</v>
      </c>
      <c r="D71" s="129"/>
      <c r="E71" s="127"/>
      <c r="F71" s="119"/>
      <c r="G71" s="120"/>
      <c r="H71" s="120"/>
      <c r="I71" s="121"/>
      <c r="J71" s="124"/>
      <c r="K71" s="124"/>
      <c r="L71" s="124"/>
      <c r="M71" s="124"/>
      <c r="N71" s="123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customFormat="false" ht="27.75" hidden="false" customHeight="true" outlineLevel="0" collapsed="false">
      <c r="A72" s="106"/>
      <c r="B72" s="127"/>
      <c r="C72" s="137" t="str">
        <f aca="false">CONCATENATE(A72,".",B72)</f>
        <v>.</v>
      </c>
      <c r="D72" s="129"/>
      <c r="E72" s="127"/>
      <c r="F72" s="119"/>
      <c r="G72" s="120"/>
      <c r="H72" s="120"/>
      <c r="I72" s="121"/>
      <c r="J72" s="124"/>
      <c r="K72" s="124"/>
      <c r="L72" s="124"/>
      <c r="M72" s="124"/>
      <c r="N72" s="123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customFormat="false" ht="27.75" hidden="false" customHeight="true" outlineLevel="0" collapsed="false">
      <c r="A73" s="106"/>
      <c r="B73" s="127"/>
      <c r="C73" s="137" t="str">
        <f aca="false">CONCATENATE(A73,".",B73)</f>
        <v>.</v>
      </c>
      <c r="D73" s="129"/>
      <c r="E73" s="127"/>
      <c r="F73" s="119"/>
      <c r="G73" s="120"/>
      <c r="H73" s="120"/>
      <c r="I73" s="121"/>
      <c r="J73" s="124"/>
      <c r="K73" s="124"/>
      <c r="L73" s="124"/>
      <c r="M73" s="124"/>
      <c r="N73" s="123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customFormat="false" ht="27.75" hidden="false" customHeight="true" outlineLevel="0" collapsed="false">
      <c r="A74" s="106"/>
      <c r="B74" s="127"/>
      <c r="C74" s="137" t="str">
        <f aca="false">CONCATENATE(A74,".",B74)</f>
        <v>.</v>
      </c>
      <c r="D74" s="129"/>
      <c r="E74" s="127"/>
      <c r="F74" s="119"/>
      <c r="G74" s="120"/>
      <c r="H74" s="120"/>
      <c r="I74" s="121"/>
      <c r="J74" s="124"/>
      <c r="K74" s="124"/>
      <c r="L74" s="124"/>
      <c r="M74" s="124"/>
      <c r="N74" s="123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customFormat="false" ht="27.75" hidden="false" customHeight="true" outlineLevel="0" collapsed="false">
      <c r="A75" s="106"/>
      <c r="B75" s="127"/>
      <c r="C75" s="137" t="str">
        <f aca="false">CONCATENATE(A75,".",B75)</f>
        <v>.</v>
      </c>
      <c r="D75" s="129"/>
      <c r="E75" s="127"/>
      <c r="F75" s="119"/>
      <c r="G75" s="120"/>
      <c r="H75" s="120"/>
      <c r="I75" s="121"/>
      <c r="J75" s="124"/>
      <c r="K75" s="124"/>
      <c r="L75" s="124"/>
      <c r="M75" s="124"/>
      <c r="N75" s="123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customFormat="false" ht="27.75" hidden="false" customHeight="true" outlineLevel="0" collapsed="false">
      <c r="A76" s="106"/>
      <c r="B76" s="127"/>
      <c r="C76" s="137" t="str">
        <f aca="false">CONCATENATE(A76,".",B76)</f>
        <v>.</v>
      </c>
      <c r="D76" s="129"/>
      <c r="E76" s="127"/>
      <c r="F76" s="119"/>
      <c r="G76" s="120"/>
      <c r="H76" s="120"/>
      <c r="I76" s="121"/>
      <c r="J76" s="124"/>
      <c r="K76" s="124"/>
      <c r="L76" s="124"/>
      <c r="M76" s="124"/>
      <c r="N76" s="123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customFormat="false" ht="27.75" hidden="false" customHeight="true" outlineLevel="0" collapsed="false">
      <c r="A77" s="106"/>
      <c r="B77" s="127"/>
      <c r="C77" s="137" t="str">
        <f aca="false">CONCATENATE(A77,".",B77)</f>
        <v>.</v>
      </c>
      <c r="D77" s="129"/>
      <c r="E77" s="127"/>
      <c r="F77" s="119"/>
      <c r="G77" s="120"/>
      <c r="H77" s="120"/>
      <c r="I77" s="121"/>
      <c r="J77" s="124"/>
      <c r="K77" s="124"/>
      <c r="L77" s="124"/>
      <c r="M77" s="124"/>
      <c r="N77" s="123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customFormat="false" ht="27.75" hidden="false" customHeight="true" outlineLevel="0" collapsed="false">
      <c r="A78" s="106"/>
      <c r="B78" s="127"/>
      <c r="C78" s="137" t="str">
        <f aca="false">CONCATENATE(A78,".",B78)</f>
        <v>.</v>
      </c>
      <c r="D78" s="129"/>
      <c r="E78" s="127"/>
      <c r="F78" s="119"/>
      <c r="G78" s="120"/>
      <c r="H78" s="120"/>
      <c r="I78" s="121"/>
      <c r="J78" s="124"/>
      <c r="K78" s="124"/>
      <c r="L78" s="124"/>
      <c r="M78" s="124"/>
      <c r="N78" s="123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customFormat="false" ht="27.75" hidden="false" customHeight="true" outlineLevel="0" collapsed="false">
      <c r="A79" s="106"/>
      <c r="B79" s="127"/>
      <c r="C79" s="137" t="str">
        <f aca="false">CONCATENATE(A79,".",B79)</f>
        <v>.</v>
      </c>
      <c r="D79" s="129"/>
      <c r="E79" s="127"/>
      <c r="F79" s="119"/>
      <c r="G79" s="120"/>
      <c r="H79" s="120"/>
      <c r="I79" s="121"/>
      <c r="J79" s="124"/>
      <c r="K79" s="124"/>
      <c r="L79" s="124"/>
      <c r="M79" s="124"/>
      <c r="N79" s="123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customFormat="false" ht="27.75" hidden="false" customHeight="true" outlineLevel="0" collapsed="false">
      <c r="A80" s="106"/>
      <c r="B80" s="127"/>
      <c r="C80" s="137" t="str">
        <f aca="false">CONCATENATE(A80,".",B80)</f>
        <v>.</v>
      </c>
      <c r="D80" s="129"/>
      <c r="E80" s="127"/>
      <c r="F80" s="119"/>
      <c r="G80" s="120"/>
      <c r="H80" s="120"/>
      <c r="I80" s="121"/>
      <c r="J80" s="124"/>
      <c r="K80" s="124"/>
      <c r="L80" s="124"/>
      <c r="M80" s="124"/>
      <c r="N80" s="123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customFormat="false" ht="27.75" hidden="false" customHeight="true" outlineLevel="0" collapsed="false">
      <c r="A81" s="106"/>
      <c r="B81" s="127"/>
      <c r="C81" s="137" t="str">
        <f aca="false">CONCATENATE(A81,".",B81)</f>
        <v>.</v>
      </c>
      <c r="D81" s="129"/>
      <c r="E81" s="127"/>
      <c r="F81" s="119"/>
      <c r="G81" s="120"/>
      <c r="H81" s="120"/>
      <c r="I81" s="121"/>
      <c r="J81" s="124"/>
      <c r="K81" s="124"/>
      <c r="L81" s="124"/>
      <c r="M81" s="124"/>
      <c r="N81" s="123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customFormat="false" ht="27.75" hidden="false" customHeight="true" outlineLevel="0" collapsed="false">
      <c r="A82" s="106"/>
      <c r="B82" s="127"/>
      <c r="C82" s="137" t="str">
        <f aca="false">CONCATENATE(A82,".",B82)</f>
        <v>.</v>
      </c>
      <c r="D82" s="129"/>
      <c r="E82" s="127"/>
      <c r="F82" s="119"/>
      <c r="G82" s="120"/>
      <c r="H82" s="120"/>
      <c r="I82" s="121"/>
      <c r="J82" s="124"/>
      <c r="K82" s="124"/>
      <c r="L82" s="124"/>
      <c r="M82" s="124"/>
      <c r="N82" s="123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customFormat="false" ht="27.75" hidden="false" customHeight="true" outlineLevel="0" collapsed="false">
      <c r="A83" s="106"/>
      <c r="B83" s="127"/>
      <c r="C83" s="137" t="str">
        <f aca="false">CONCATENATE(A83,".",B83)</f>
        <v>.</v>
      </c>
      <c r="D83" s="129"/>
      <c r="E83" s="127"/>
      <c r="F83" s="119"/>
      <c r="G83" s="120"/>
      <c r="H83" s="120"/>
      <c r="I83" s="121"/>
      <c r="J83" s="124"/>
      <c r="K83" s="124"/>
      <c r="L83" s="124"/>
      <c r="M83" s="124"/>
      <c r="N83" s="123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customFormat="false" ht="27.75" hidden="false" customHeight="true" outlineLevel="0" collapsed="false">
      <c r="A84" s="106"/>
      <c r="B84" s="127"/>
      <c r="C84" s="137" t="str">
        <f aca="false">CONCATENATE(A84,".",B84)</f>
        <v>.</v>
      </c>
      <c r="D84" s="129"/>
      <c r="E84" s="127"/>
      <c r="F84" s="119"/>
      <c r="G84" s="120"/>
      <c r="H84" s="120"/>
      <c r="I84" s="121"/>
      <c r="J84" s="124"/>
      <c r="K84" s="124"/>
      <c r="L84" s="124"/>
      <c r="M84" s="124"/>
      <c r="N84" s="123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customFormat="false" ht="27.75" hidden="false" customHeight="true" outlineLevel="0" collapsed="false">
      <c r="A85" s="106"/>
      <c r="B85" s="127"/>
      <c r="C85" s="137" t="str">
        <f aca="false">CONCATENATE(A85,".",B85)</f>
        <v>.</v>
      </c>
      <c r="D85" s="129"/>
      <c r="E85" s="127"/>
      <c r="F85" s="119"/>
      <c r="G85" s="120"/>
      <c r="H85" s="120"/>
      <c r="I85" s="121"/>
      <c r="J85" s="124"/>
      <c r="K85" s="124"/>
      <c r="L85" s="124"/>
      <c r="M85" s="124"/>
      <c r="N85" s="123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customFormat="false" ht="27.75" hidden="false" customHeight="true" outlineLevel="0" collapsed="false">
      <c r="A86" s="106"/>
      <c r="B86" s="127"/>
      <c r="C86" s="137" t="str">
        <f aca="false">CONCATENATE(A86,".",B86)</f>
        <v>.</v>
      </c>
      <c r="D86" s="129"/>
      <c r="E86" s="127"/>
      <c r="F86" s="119"/>
      <c r="G86" s="120"/>
      <c r="H86" s="120"/>
      <c r="I86" s="121"/>
      <c r="J86" s="124"/>
      <c r="K86" s="124"/>
      <c r="L86" s="124"/>
      <c r="M86" s="124"/>
      <c r="N86" s="123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customFormat="false" ht="27.75" hidden="false" customHeight="true" outlineLevel="0" collapsed="false">
      <c r="A87" s="106"/>
      <c r="B87" s="127"/>
      <c r="C87" s="137" t="str">
        <f aca="false">CONCATENATE(A87,".",B87)</f>
        <v>.</v>
      </c>
      <c r="D87" s="129"/>
      <c r="E87" s="127"/>
      <c r="F87" s="119"/>
      <c r="G87" s="120"/>
      <c r="H87" s="120"/>
      <c r="I87" s="121"/>
      <c r="J87" s="124"/>
      <c r="K87" s="124"/>
      <c r="L87" s="124"/>
      <c r="M87" s="124"/>
      <c r="N87" s="123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customFormat="false" ht="27.75" hidden="false" customHeight="true" outlineLevel="0" collapsed="false">
      <c r="A88" s="106"/>
      <c r="B88" s="127"/>
      <c r="C88" s="137" t="str">
        <f aca="false">CONCATENATE(A88,".",B88)</f>
        <v>.</v>
      </c>
      <c r="D88" s="129"/>
      <c r="E88" s="127"/>
      <c r="F88" s="119"/>
      <c r="G88" s="120"/>
      <c r="H88" s="120"/>
      <c r="I88" s="121"/>
      <c r="J88" s="124"/>
      <c r="K88" s="124"/>
      <c r="L88" s="124"/>
      <c r="M88" s="124"/>
      <c r="N88" s="123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customFormat="false" ht="27.75" hidden="false" customHeight="true" outlineLevel="0" collapsed="false">
      <c r="A89" s="106"/>
      <c r="B89" s="127"/>
      <c r="C89" s="137" t="str">
        <f aca="false">CONCATENATE(A89,".",B89)</f>
        <v>.</v>
      </c>
      <c r="D89" s="129"/>
      <c r="E89" s="127"/>
      <c r="F89" s="119"/>
      <c r="G89" s="120"/>
      <c r="H89" s="120"/>
      <c r="I89" s="121"/>
      <c r="J89" s="124"/>
      <c r="K89" s="124"/>
      <c r="L89" s="124"/>
      <c r="M89" s="124"/>
      <c r="N89" s="123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customFormat="false" ht="27.75" hidden="false" customHeight="true" outlineLevel="0" collapsed="false">
      <c r="A90" s="106"/>
      <c r="B90" s="127"/>
      <c r="C90" s="137" t="str">
        <f aca="false">CONCATENATE(A90,".",B90)</f>
        <v>.</v>
      </c>
      <c r="D90" s="129"/>
      <c r="E90" s="127"/>
      <c r="F90" s="119"/>
      <c r="G90" s="120"/>
      <c r="H90" s="120"/>
      <c r="I90" s="121"/>
      <c r="J90" s="124"/>
      <c r="K90" s="124"/>
      <c r="L90" s="124"/>
      <c r="M90" s="124"/>
      <c r="N90" s="123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</row>
    <row r="91" customFormat="false" ht="27.75" hidden="false" customHeight="true" outlineLevel="0" collapsed="false">
      <c r="A91" s="106"/>
      <c r="B91" s="127"/>
      <c r="C91" s="137" t="str">
        <f aca="false">CONCATENATE(A91,".",B91)</f>
        <v>.</v>
      </c>
      <c r="D91" s="129"/>
      <c r="E91" s="127"/>
      <c r="F91" s="119"/>
      <c r="G91" s="120"/>
      <c r="H91" s="120"/>
      <c r="I91" s="121"/>
      <c r="J91" s="124"/>
      <c r="K91" s="124"/>
      <c r="L91" s="124"/>
      <c r="M91" s="124"/>
      <c r="N91" s="123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</row>
    <row r="92" customFormat="false" ht="27.75" hidden="false" customHeight="true" outlineLevel="0" collapsed="false">
      <c r="A92" s="106"/>
      <c r="B92" s="127"/>
      <c r="C92" s="137" t="str">
        <f aca="false">CONCATENATE(A92,".",B92)</f>
        <v>.</v>
      </c>
      <c r="D92" s="129"/>
      <c r="E92" s="127"/>
      <c r="F92" s="119"/>
      <c r="G92" s="120"/>
      <c r="H92" s="120"/>
      <c r="I92" s="121"/>
      <c r="J92" s="124"/>
      <c r="K92" s="124"/>
      <c r="L92" s="124"/>
      <c r="M92" s="124"/>
      <c r="N92" s="123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</row>
    <row r="93" customFormat="false" ht="27.75" hidden="false" customHeight="true" outlineLevel="0" collapsed="false">
      <c r="A93" s="106"/>
      <c r="B93" s="127"/>
      <c r="C93" s="137" t="str">
        <f aca="false">CONCATENATE(A93,".",B93)</f>
        <v>.</v>
      </c>
      <c r="D93" s="129"/>
      <c r="E93" s="127"/>
      <c r="F93" s="119"/>
      <c r="G93" s="120"/>
      <c r="H93" s="120"/>
      <c r="I93" s="121"/>
      <c r="J93" s="124"/>
      <c r="K93" s="124"/>
      <c r="L93" s="124"/>
      <c r="M93" s="124"/>
      <c r="N93" s="123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</row>
    <row r="94" customFormat="false" ht="27.75" hidden="false" customHeight="true" outlineLevel="0" collapsed="false">
      <c r="A94" s="106"/>
      <c r="B94" s="127"/>
      <c r="C94" s="137" t="str">
        <f aca="false">CONCATENATE(A94,".",B94)</f>
        <v>.</v>
      </c>
      <c r="D94" s="129"/>
      <c r="E94" s="127"/>
      <c r="F94" s="119"/>
      <c r="G94" s="120"/>
      <c r="H94" s="120"/>
      <c r="I94" s="121"/>
      <c r="J94" s="124"/>
      <c r="K94" s="124"/>
      <c r="L94" s="124"/>
      <c r="M94" s="124"/>
      <c r="N94" s="123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</row>
    <row r="95" customFormat="false" ht="27.75" hidden="false" customHeight="true" outlineLevel="0" collapsed="false">
      <c r="A95" s="106"/>
      <c r="B95" s="127"/>
      <c r="C95" s="137" t="str">
        <f aca="false">CONCATENATE(A95,".",B95)</f>
        <v>.</v>
      </c>
      <c r="D95" s="129"/>
      <c r="E95" s="127"/>
      <c r="F95" s="119"/>
      <c r="G95" s="120"/>
      <c r="H95" s="120"/>
      <c r="I95" s="121"/>
      <c r="J95" s="124"/>
      <c r="K95" s="124"/>
      <c r="L95" s="124"/>
      <c r="M95" s="124"/>
      <c r="N95" s="123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</row>
    <row r="96" customFormat="false" ht="27.75" hidden="false" customHeight="true" outlineLevel="0" collapsed="false">
      <c r="A96" s="106"/>
      <c r="B96" s="127"/>
      <c r="C96" s="137" t="str">
        <f aca="false">CONCATENATE(A96,".",B96)</f>
        <v>.</v>
      </c>
      <c r="D96" s="129"/>
      <c r="E96" s="127"/>
      <c r="F96" s="119"/>
      <c r="G96" s="120"/>
      <c r="H96" s="120"/>
      <c r="I96" s="121"/>
      <c r="J96" s="124"/>
      <c r="K96" s="124"/>
      <c r="L96" s="124"/>
      <c r="M96" s="124"/>
      <c r="N96" s="123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customFormat="false" ht="27.75" hidden="false" customHeight="true" outlineLevel="0" collapsed="false">
      <c r="A97" s="106"/>
      <c r="B97" s="127"/>
      <c r="C97" s="137" t="str">
        <f aca="false">CONCATENATE(A97,".",B97)</f>
        <v>.</v>
      </c>
      <c r="D97" s="129"/>
      <c r="E97" s="127"/>
      <c r="F97" s="119"/>
      <c r="G97" s="120"/>
      <c r="H97" s="120"/>
      <c r="I97" s="121"/>
      <c r="J97" s="124"/>
      <c r="K97" s="124"/>
      <c r="L97" s="124"/>
      <c r="M97" s="124"/>
      <c r="N97" s="123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</row>
    <row r="98" customFormat="false" ht="27.75" hidden="false" customHeight="true" outlineLevel="0" collapsed="false">
      <c r="A98" s="106"/>
      <c r="B98" s="127"/>
      <c r="C98" s="137" t="str">
        <f aca="false">CONCATENATE(A98,".",B98)</f>
        <v>.</v>
      </c>
      <c r="D98" s="129"/>
      <c r="E98" s="127"/>
      <c r="F98" s="119"/>
      <c r="G98" s="120"/>
      <c r="H98" s="120"/>
      <c r="I98" s="121"/>
      <c r="J98" s="124"/>
      <c r="K98" s="124"/>
      <c r="L98" s="124"/>
      <c r="M98" s="124"/>
      <c r="N98" s="123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</row>
    <row r="99" customFormat="false" ht="27.75" hidden="false" customHeight="true" outlineLevel="0" collapsed="false">
      <c r="A99" s="106"/>
      <c r="B99" s="127"/>
      <c r="C99" s="137" t="str">
        <f aca="false">CONCATENATE(A99,".",B99)</f>
        <v>.</v>
      </c>
      <c r="D99" s="129"/>
      <c r="E99" s="127"/>
      <c r="F99" s="119"/>
      <c r="G99" s="120"/>
      <c r="H99" s="120"/>
      <c r="I99" s="121"/>
      <c r="J99" s="124"/>
      <c r="K99" s="124"/>
      <c r="L99" s="124"/>
      <c r="M99" s="124"/>
      <c r="N99" s="123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</row>
    <row r="100" customFormat="false" ht="27.75" hidden="false" customHeight="true" outlineLevel="0" collapsed="false">
      <c r="A100" s="106"/>
      <c r="B100" s="127"/>
      <c r="C100" s="137" t="str">
        <f aca="false">CONCATENATE(A100,".",B100)</f>
        <v>.</v>
      </c>
      <c r="D100" s="129"/>
      <c r="E100" s="127"/>
      <c r="F100" s="119"/>
      <c r="G100" s="120"/>
      <c r="H100" s="120"/>
      <c r="I100" s="121"/>
      <c r="J100" s="124"/>
      <c r="K100" s="124"/>
      <c r="L100" s="124"/>
      <c r="M100" s="124"/>
      <c r="N100" s="123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</row>
    <row r="101" customFormat="false" ht="27.75" hidden="false" customHeight="true" outlineLevel="0" collapsed="false">
      <c r="A101" s="106"/>
      <c r="B101" s="127"/>
      <c r="C101" s="137" t="str">
        <f aca="false">CONCATENATE(A101,".",B101)</f>
        <v>.</v>
      </c>
      <c r="D101" s="129"/>
      <c r="E101" s="127"/>
      <c r="F101" s="119"/>
      <c r="G101" s="120"/>
      <c r="H101" s="120"/>
      <c r="I101" s="121"/>
      <c r="J101" s="124"/>
      <c r="K101" s="124"/>
      <c r="L101" s="124"/>
      <c r="M101" s="124"/>
      <c r="N101" s="123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</row>
    <row r="102" customFormat="false" ht="27.75" hidden="false" customHeight="true" outlineLevel="0" collapsed="false">
      <c r="A102" s="106"/>
      <c r="B102" s="127"/>
      <c r="C102" s="137" t="str">
        <f aca="false">CONCATENATE(A102,".",B102)</f>
        <v>.</v>
      </c>
      <c r="D102" s="129"/>
      <c r="E102" s="127"/>
      <c r="F102" s="119"/>
      <c r="G102" s="120"/>
      <c r="H102" s="120"/>
      <c r="I102" s="121"/>
      <c r="J102" s="124"/>
      <c r="K102" s="124"/>
      <c r="L102" s="124"/>
      <c r="M102" s="124"/>
      <c r="N102" s="123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</row>
    <row r="103" customFormat="false" ht="27.75" hidden="false" customHeight="true" outlineLevel="0" collapsed="false">
      <c r="A103" s="106"/>
      <c r="B103" s="127"/>
      <c r="C103" s="137" t="str">
        <f aca="false">CONCATENATE(A103,".",B103)</f>
        <v>.</v>
      </c>
      <c r="D103" s="129"/>
      <c r="E103" s="127"/>
      <c r="F103" s="119"/>
      <c r="G103" s="120"/>
      <c r="H103" s="120"/>
      <c r="I103" s="121"/>
      <c r="J103" s="124"/>
      <c r="K103" s="124"/>
      <c r="L103" s="124"/>
      <c r="M103" s="124"/>
      <c r="N103" s="123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</row>
    <row r="104" customFormat="false" ht="27.75" hidden="false" customHeight="true" outlineLevel="0" collapsed="false">
      <c r="A104" s="106"/>
      <c r="B104" s="127"/>
      <c r="C104" s="137" t="str">
        <f aca="false">CONCATENATE(A104,".",B104)</f>
        <v>.</v>
      </c>
      <c r="D104" s="129"/>
      <c r="E104" s="127"/>
      <c r="F104" s="119"/>
      <c r="G104" s="120"/>
      <c r="H104" s="120"/>
      <c r="I104" s="121"/>
      <c r="J104" s="124"/>
      <c r="K104" s="124"/>
      <c r="L104" s="124"/>
      <c r="M104" s="124"/>
      <c r="N104" s="123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</row>
    <row r="105" customFormat="false" ht="27.75" hidden="false" customHeight="true" outlineLevel="0" collapsed="false">
      <c r="A105" s="138"/>
      <c r="B105" s="139"/>
      <c r="C105" s="140" t="str">
        <f aca="false">CONCATENATE(A105,".",B105)</f>
        <v>.</v>
      </c>
      <c r="D105" s="141"/>
      <c r="E105" s="139"/>
      <c r="F105" s="142"/>
      <c r="G105" s="143"/>
      <c r="H105" s="143"/>
      <c r="I105" s="144"/>
      <c r="J105" s="145"/>
      <c r="K105" s="145"/>
      <c r="L105" s="145"/>
      <c r="M105" s="145"/>
      <c r="N105" s="14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</row>
    <row r="106" customFormat="false" ht="11.25" hidden="false" customHeight="true" outlineLevel="0" collapsed="false">
      <c r="A106" s="147"/>
      <c r="B106" s="147"/>
      <c r="C106" s="147"/>
      <c r="D106" s="90"/>
      <c r="E106" s="147"/>
      <c r="F106" s="148"/>
      <c r="G106" s="148"/>
      <c r="H106" s="148"/>
      <c r="I106" s="148"/>
      <c r="J106" s="149"/>
      <c r="K106" s="149"/>
      <c r="L106" s="149"/>
      <c r="M106" s="149"/>
      <c r="N106" s="90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</row>
    <row r="107" customFormat="false" ht="11.25" hidden="false" customHeight="true" outlineLevel="0" collapsed="false">
      <c r="A107" s="147"/>
      <c r="B107" s="147"/>
      <c r="C107" s="147"/>
      <c r="D107" s="90"/>
      <c r="E107" s="147"/>
      <c r="F107" s="148"/>
      <c r="G107" s="148"/>
      <c r="H107" s="148"/>
      <c r="I107" s="148"/>
      <c r="J107" s="149"/>
      <c r="K107" s="149"/>
      <c r="L107" s="149"/>
      <c r="M107" s="149"/>
      <c r="N107" s="90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</row>
    <row r="108" customFormat="false" ht="11.25" hidden="false" customHeight="true" outlineLevel="0" collapsed="false">
      <c r="A108" s="147"/>
      <c r="B108" s="147"/>
      <c r="C108" s="147"/>
      <c r="D108" s="90"/>
      <c r="E108" s="147"/>
      <c r="F108" s="148"/>
      <c r="G108" s="148"/>
      <c r="H108" s="148"/>
      <c r="I108" s="148"/>
      <c r="J108" s="149"/>
      <c r="K108" s="149"/>
      <c r="L108" s="149"/>
      <c r="M108" s="149"/>
      <c r="N108" s="90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</row>
    <row r="109" customFormat="false" ht="11.25" hidden="false" customHeight="true" outlineLevel="0" collapsed="false">
      <c r="A109" s="147"/>
      <c r="B109" s="147"/>
      <c r="C109" s="147"/>
      <c r="D109" s="90"/>
      <c r="E109" s="147"/>
      <c r="F109" s="148"/>
      <c r="G109" s="148"/>
      <c r="H109" s="148"/>
      <c r="I109" s="148"/>
      <c r="J109" s="149"/>
      <c r="K109" s="149"/>
      <c r="L109" s="149"/>
      <c r="M109" s="149"/>
      <c r="N109" s="90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</row>
    <row r="110" customFormat="false" ht="11.25" hidden="false" customHeight="true" outlineLevel="0" collapsed="false">
      <c r="A110" s="147"/>
      <c r="B110" s="147"/>
      <c r="C110" s="147"/>
      <c r="D110" s="90"/>
      <c r="E110" s="147"/>
      <c r="F110" s="148"/>
      <c r="G110" s="148"/>
      <c r="H110" s="148"/>
      <c r="I110" s="148"/>
      <c r="J110" s="149"/>
      <c r="K110" s="149"/>
      <c r="L110" s="149"/>
      <c r="M110" s="149"/>
      <c r="N110" s="90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</row>
    <row r="111" customFormat="false" ht="11.25" hidden="false" customHeight="true" outlineLevel="0" collapsed="false">
      <c r="A111" s="147"/>
      <c r="B111" s="147"/>
      <c r="C111" s="147"/>
      <c r="D111" s="90"/>
      <c r="E111" s="147"/>
      <c r="F111" s="148"/>
      <c r="G111" s="148"/>
      <c r="H111" s="148"/>
      <c r="I111" s="148"/>
      <c r="J111" s="149"/>
      <c r="K111" s="149"/>
      <c r="L111" s="149"/>
      <c r="M111" s="149"/>
      <c r="N111" s="90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</row>
    <row r="112" customFormat="false" ht="11.25" hidden="false" customHeight="true" outlineLevel="0" collapsed="false">
      <c r="A112" s="147"/>
      <c r="B112" s="147"/>
      <c r="C112" s="147"/>
      <c r="D112" s="90"/>
      <c r="E112" s="147"/>
      <c r="F112" s="148"/>
      <c r="G112" s="148"/>
      <c r="H112" s="148"/>
      <c r="I112" s="148"/>
      <c r="J112" s="149"/>
      <c r="K112" s="149"/>
      <c r="L112" s="149"/>
      <c r="M112" s="149"/>
      <c r="N112" s="90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</row>
    <row r="113" customFormat="false" ht="11.25" hidden="false" customHeight="true" outlineLevel="0" collapsed="false">
      <c r="A113" s="147"/>
      <c r="B113" s="147"/>
      <c r="C113" s="147"/>
      <c r="D113" s="90"/>
      <c r="E113" s="147"/>
      <c r="F113" s="148"/>
      <c r="G113" s="148"/>
      <c r="H113" s="148"/>
      <c r="I113" s="148"/>
      <c r="J113" s="149"/>
      <c r="K113" s="149"/>
      <c r="L113" s="149"/>
      <c r="M113" s="149"/>
      <c r="N113" s="90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</row>
    <row r="114" customFormat="false" ht="11.25" hidden="false" customHeight="true" outlineLevel="0" collapsed="false">
      <c r="A114" s="147"/>
      <c r="B114" s="147"/>
      <c r="C114" s="147"/>
      <c r="D114" s="90"/>
      <c r="E114" s="147"/>
      <c r="F114" s="148"/>
      <c r="G114" s="148"/>
      <c r="H114" s="148"/>
      <c r="I114" s="148"/>
      <c r="J114" s="149"/>
      <c r="K114" s="149"/>
      <c r="L114" s="149"/>
      <c r="M114" s="149"/>
      <c r="N114" s="90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</row>
    <row r="115" customFormat="false" ht="11.25" hidden="false" customHeight="true" outlineLevel="0" collapsed="false">
      <c r="A115" s="147"/>
      <c r="B115" s="147"/>
      <c r="C115" s="147"/>
      <c r="D115" s="90"/>
      <c r="E115" s="147"/>
      <c r="F115" s="148"/>
      <c r="G115" s="148"/>
      <c r="H115" s="148"/>
      <c r="I115" s="148"/>
      <c r="J115" s="149"/>
      <c r="K115" s="149"/>
      <c r="L115" s="149"/>
      <c r="M115" s="149"/>
      <c r="N115" s="90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</row>
    <row r="116" customFormat="false" ht="11.25" hidden="false" customHeight="true" outlineLevel="0" collapsed="false">
      <c r="A116" s="147"/>
      <c r="B116" s="147"/>
      <c r="C116" s="147"/>
      <c r="D116" s="90"/>
      <c r="E116" s="147"/>
      <c r="F116" s="148"/>
      <c r="G116" s="148"/>
      <c r="H116" s="148"/>
      <c r="I116" s="148"/>
      <c r="J116" s="149"/>
      <c r="K116" s="149"/>
      <c r="L116" s="149"/>
      <c r="M116" s="149"/>
      <c r="N116" s="90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</row>
    <row r="117" customFormat="false" ht="11.25" hidden="false" customHeight="true" outlineLevel="0" collapsed="false">
      <c r="A117" s="147"/>
      <c r="B117" s="147"/>
      <c r="C117" s="147"/>
      <c r="D117" s="90"/>
      <c r="E117" s="147"/>
      <c r="F117" s="148"/>
      <c r="G117" s="148"/>
      <c r="H117" s="148"/>
      <c r="I117" s="148"/>
      <c r="J117" s="149"/>
      <c r="K117" s="149"/>
      <c r="L117" s="149"/>
      <c r="M117" s="149"/>
      <c r="N117" s="90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</row>
    <row r="118" customFormat="false" ht="11.25" hidden="false" customHeight="true" outlineLevel="0" collapsed="false">
      <c r="A118" s="147"/>
      <c r="B118" s="147"/>
      <c r="C118" s="147"/>
      <c r="D118" s="90"/>
      <c r="E118" s="147"/>
      <c r="F118" s="148"/>
      <c r="G118" s="148"/>
      <c r="H118" s="148"/>
      <c r="I118" s="148"/>
      <c r="J118" s="149"/>
      <c r="K118" s="149"/>
      <c r="L118" s="149"/>
      <c r="M118" s="149"/>
      <c r="N118" s="90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</row>
    <row r="119" customFormat="false" ht="11.25" hidden="false" customHeight="true" outlineLevel="0" collapsed="false">
      <c r="A119" s="147"/>
      <c r="B119" s="147"/>
      <c r="C119" s="147"/>
      <c r="D119" s="90"/>
      <c r="E119" s="147"/>
      <c r="F119" s="148"/>
      <c r="G119" s="148"/>
      <c r="H119" s="148"/>
      <c r="I119" s="148"/>
      <c r="J119" s="149"/>
      <c r="K119" s="149"/>
      <c r="L119" s="149"/>
      <c r="M119" s="149"/>
      <c r="N119" s="90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</row>
    <row r="120" customFormat="false" ht="11.25" hidden="false" customHeight="true" outlineLevel="0" collapsed="false">
      <c r="A120" s="147"/>
      <c r="B120" s="147"/>
      <c r="C120" s="147"/>
      <c r="D120" s="90"/>
      <c r="E120" s="147"/>
      <c r="F120" s="148"/>
      <c r="G120" s="148"/>
      <c r="H120" s="148"/>
      <c r="I120" s="148"/>
      <c r="J120" s="149"/>
      <c r="K120" s="149"/>
      <c r="L120" s="149"/>
      <c r="M120" s="149"/>
      <c r="N120" s="90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</row>
    <row r="121" customFormat="false" ht="11.25" hidden="false" customHeight="true" outlineLevel="0" collapsed="false">
      <c r="A121" s="147"/>
      <c r="B121" s="147"/>
      <c r="C121" s="147"/>
      <c r="D121" s="90"/>
      <c r="E121" s="147"/>
      <c r="F121" s="148"/>
      <c r="G121" s="148"/>
      <c r="H121" s="148"/>
      <c r="I121" s="148"/>
      <c r="J121" s="149"/>
      <c r="K121" s="149"/>
      <c r="L121" s="149"/>
      <c r="M121" s="149"/>
      <c r="N121" s="90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</row>
    <row r="122" customFormat="false" ht="11.25" hidden="false" customHeight="true" outlineLevel="0" collapsed="false">
      <c r="A122" s="147"/>
      <c r="B122" s="147"/>
      <c r="C122" s="147"/>
      <c r="D122" s="90"/>
      <c r="E122" s="147"/>
      <c r="F122" s="148"/>
      <c r="G122" s="148"/>
      <c r="H122" s="148"/>
      <c r="I122" s="148"/>
      <c r="J122" s="149"/>
      <c r="K122" s="149"/>
      <c r="L122" s="149"/>
      <c r="M122" s="149"/>
      <c r="N122" s="90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</row>
    <row r="123" customFormat="false" ht="11.25" hidden="false" customHeight="true" outlineLevel="0" collapsed="false">
      <c r="A123" s="147"/>
      <c r="B123" s="147"/>
      <c r="C123" s="147"/>
      <c r="D123" s="90"/>
      <c r="E123" s="147"/>
      <c r="F123" s="148"/>
      <c r="G123" s="148"/>
      <c r="H123" s="148"/>
      <c r="I123" s="148"/>
      <c r="J123" s="149"/>
      <c r="K123" s="149"/>
      <c r="L123" s="149"/>
      <c r="M123" s="149"/>
      <c r="N123" s="90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</row>
    <row r="124" customFormat="false" ht="11.25" hidden="false" customHeight="true" outlineLevel="0" collapsed="false">
      <c r="A124" s="147"/>
      <c r="B124" s="147"/>
      <c r="C124" s="147"/>
      <c r="D124" s="90"/>
      <c r="E124" s="147"/>
      <c r="F124" s="148"/>
      <c r="G124" s="148"/>
      <c r="H124" s="148"/>
      <c r="I124" s="148"/>
      <c r="J124" s="149"/>
      <c r="K124" s="149"/>
      <c r="L124" s="149"/>
      <c r="M124" s="149"/>
      <c r="N124" s="90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</row>
    <row r="125" customFormat="false" ht="11.25" hidden="false" customHeight="true" outlineLevel="0" collapsed="false">
      <c r="A125" s="147"/>
      <c r="B125" s="147"/>
      <c r="C125" s="147"/>
      <c r="D125" s="90"/>
      <c r="E125" s="147"/>
      <c r="F125" s="148"/>
      <c r="G125" s="148"/>
      <c r="H125" s="148"/>
      <c r="I125" s="148"/>
      <c r="J125" s="149"/>
      <c r="K125" s="149"/>
      <c r="L125" s="149"/>
      <c r="M125" s="149"/>
      <c r="N125" s="90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</row>
    <row r="126" customFormat="false" ht="11.25" hidden="false" customHeight="true" outlineLevel="0" collapsed="false">
      <c r="A126" s="147"/>
      <c r="B126" s="147"/>
      <c r="C126" s="147"/>
      <c r="D126" s="90"/>
      <c r="E126" s="147"/>
      <c r="F126" s="148"/>
      <c r="G126" s="148"/>
      <c r="H126" s="148"/>
      <c r="I126" s="148"/>
      <c r="J126" s="149"/>
      <c r="K126" s="149"/>
      <c r="L126" s="149"/>
      <c r="M126" s="149"/>
      <c r="N126" s="90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</row>
    <row r="127" customFormat="false" ht="11.25" hidden="false" customHeight="true" outlineLevel="0" collapsed="false">
      <c r="A127" s="147"/>
      <c r="B127" s="147"/>
      <c r="C127" s="147"/>
      <c r="D127" s="90"/>
      <c r="E127" s="147"/>
      <c r="F127" s="148"/>
      <c r="G127" s="148"/>
      <c r="H127" s="148"/>
      <c r="I127" s="148"/>
      <c r="J127" s="149"/>
      <c r="K127" s="149"/>
      <c r="L127" s="149"/>
      <c r="M127" s="149"/>
      <c r="N127" s="90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</row>
    <row r="128" customFormat="false" ht="11.25" hidden="false" customHeight="true" outlineLevel="0" collapsed="false">
      <c r="A128" s="147"/>
      <c r="B128" s="147"/>
      <c r="C128" s="147"/>
      <c r="D128" s="90"/>
      <c r="E128" s="147"/>
      <c r="F128" s="148"/>
      <c r="G128" s="148"/>
      <c r="H128" s="148"/>
      <c r="I128" s="148"/>
      <c r="J128" s="149"/>
      <c r="K128" s="149"/>
      <c r="L128" s="149"/>
      <c r="M128" s="149"/>
      <c r="N128" s="90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</row>
    <row r="129" customFormat="false" ht="11.25" hidden="false" customHeight="true" outlineLevel="0" collapsed="false">
      <c r="A129" s="147"/>
      <c r="B129" s="147"/>
      <c r="C129" s="147"/>
      <c r="D129" s="90"/>
      <c r="E129" s="147"/>
      <c r="F129" s="148"/>
      <c r="G129" s="148"/>
      <c r="H129" s="148"/>
      <c r="I129" s="148"/>
      <c r="J129" s="149"/>
      <c r="K129" s="149"/>
      <c r="L129" s="149"/>
      <c r="M129" s="149"/>
      <c r="N129" s="90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</row>
    <row r="130" customFormat="false" ht="11.25" hidden="false" customHeight="true" outlineLevel="0" collapsed="false">
      <c r="A130" s="147"/>
      <c r="B130" s="147"/>
      <c r="C130" s="147"/>
      <c r="D130" s="90"/>
      <c r="E130" s="147"/>
      <c r="F130" s="148"/>
      <c r="G130" s="148"/>
      <c r="H130" s="148"/>
      <c r="I130" s="148"/>
      <c r="J130" s="149"/>
      <c r="K130" s="149"/>
      <c r="L130" s="149"/>
      <c r="M130" s="149"/>
      <c r="N130" s="90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</row>
    <row r="131" customFormat="false" ht="11.25" hidden="false" customHeight="true" outlineLevel="0" collapsed="false">
      <c r="A131" s="147"/>
      <c r="B131" s="147"/>
      <c r="C131" s="147"/>
      <c r="D131" s="90"/>
      <c r="E131" s="147"/>
      <c r="F131" s="148"/>
      <c r="G131" s="148"/>
      <c r="H131" s="148"/>
      <c r="I131" s="148"/>
      <c r="J131" s="149"/>
      <c r="K131" s="149"/>
      <c r="L131" s="149"/>
      <c r="M131" s="149"/>
      <c r="N131" s="90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</row>
    <row r="132" customFormat="false" ht="11.25" hidden="false" customHeight="true" outlineLevel="0" collapsed="false">
      <c r="A132" s="147"/>
      <c r="B132" s="147"/>
      <c r="C132" s="147"/>
      <c r="D132" s="90"/>
      <c r="E132" s="147"/>
      <c r="F132" s="148"/>
      <c r="G132" s="148"/>
      <c r="H132" s="148"/>
      <c r="I132" s="148"/>
      <c r="J132" s="149"/>
      <c r="K132" s="149"/>
      <c r="L132" s="149"/>
      <c r="M132" s="149"/>
      <c r="N132" s="90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</row>
    <row r="133" customFormat="false" ht="11.25" hidden="false" customHeight="true" outlineLevel="0" collapsed="false">
      <c r="A133" s="147"/>
      <c r="B133" s="147"/>
      <c r="C133" s="147"/>
      <c r="D133" s="90"/>
      <c r="E133" s="147"/>
      <c r="F133" s="148"/>
      <c r="G133" s="148"/>
      <c r="H133" s="148"/>
      <c r="I133" s="148"/>
      <c r="J133" s="149"/>
      <c r="K133" s="149"/>
      <c r="L133" s="149"/>
      <c r="M133" s="149"/>
      <c r="N133" s="90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</row>
    <row r="134" customFormat="false" ht="11.25" hidden="false" customHeight="true" outlineLevel="0" collapsed="false">
      <c r="A134" s="147"/>
      <c r="B134" s="147"/>
      <c r="C134" s="147"/>
      <c r="D134" s="90"/>
      <c r="E134" s="147"/>
      <c r="F134" s="148"/>
      <c r="G134" s="148"/>
      <c r="H134" s="148"/>
      <c r="I134" s="148"/>
      <c r="J134" s="149"/>
      <c r="K134" s="149"/>
      <c r="L134" s="149"/>
      <c r="M134" s="149"/>
      <c r="N134" s="90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</row>
    <row r="135" customFormat="false" ht="11.25" hidden="false" customHeight="true" outlineLevel="0" collapsed="false">
      <c r="A135" s="147"/>
      <c r="B135" s="147"/>
      <c r="C135" s="147"/>
      <c r="D135" s="90"/>
      <c r="E135" s="147"/>
      <c r="F135" s="148"/>
      <c r="G135" s="148"/>
      <c r="H135" s="148"/>
      <c r="I135" s="148"/>
      <c r="J135" s="149"/>
      <c r="K135" s="149"/>
      <c r="L135" s="149"/>
      <c r="M135" s="149"/>
      <c r="N135" s="90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</row>
    <row r="136" customFormat="false" ht="11.25" hidden="false" customHeight="true" outlineLevel="0" collapsed="false">
      <c r="A136" s="147"/>
      <c r="B136" s="147"/>
      <c r="C136" s="147"/>
      <c r="D136" s="90"/>
      <c r="E136" s="147"/>
      <c r="F136" s="148"/>
      <c r="G136" s="148"/>
      <c r="H136" s="148"/>
      <c r="I136" s="148"/>
      <c r="J136" s="149"/>
      <c r="K136" s="149"/>
      <c r="L136" s="149"/>
      <c r="M136" s="149"/>
      <c r="N136" s="90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</row>
    <row r="137" customFormat="false" ht="11.25" hidden="false" customHeight="true" outlineLevel="0" collapsed="false">
      <c r="A137" s="147"/>
      <c r="B137" s="147"/>
      <c r="C137" s="147"/>
      <c r="D137" s="90"/>
      <c r="E137" s="147"/>
      <c r="F137" s="148"/>
      <c r="G137" s="148"/>
      <c r="H137" s="148"/>
      <c r="I137" s="148"/>
      <c r="J137" s="149"/>
      <c r="K137" s="149"/>
      <c r="L137" s="149"/>
      <c r="M137" s="149"/>
      <c r="N137" s="90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</row>
    <row r="138" customFormat="false" ht="11.25" hidden="false" customHeight="true" outlineLevel="0" collapsed="false">
      <c r="A138" s="147"/>
      <c r="B138" s="147"/>
      <c r="C138" s="147"/>
      <c r="D138" s="90"/>
      <c r="E138" s="147"/>
      <c r="F138" s="148"/>
      <c r="G138" s="148"/>
      <c r="H138" s="148"/>
      <c r="I138" s="148"/>
      <c r="J138" s="149"/>
      <c r="K138" s="149"/>
      <c r="L138" s="149"/>
      <c r="M138" s="149"/>
      <c r="N138" s="90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</row>
    <row r="139" customFormat="false" ht="11.25" hidden="false" customHeight="true" outlineLevel="0" collapsed="false">
      <c r="A139" s="147"/>
      <c r="B139" s="147"/>
      <c r="C139" s="147"/>
      <c r="D139" s="90"/>
      <c r="E139" s="147"/>
      <c r="F139" s="148"/>
      <c r="G139" s="148"/>
      <c r="H139" s="148"/>
      <c r="I139" s="148"/>
      <c r="J139" s="149"/>
      <c r="K139" s="149"/>
      <c r="L139" s="149"/>
      <c r="M139" s="149"/>
      <c r="N139" s="90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</row>
    <row r="140" customFormat="false" ht="11.25" hidden="false" customHeight="true" outlineLevel="0" collapsed="false">
      <c r="A140" s="147"/>
      <c r="B140" s="147"/>
      <c r="C140" s="147"/>
      <c r="D140" s="90"/>
      <c r="E140" s="147"/>
      <c r="F140" s="148"/>
      <c r="G140" s="148"/>
      <c r="H140" s="148"/>
      <c r="I140" s="148"/>
      <c r="J140" s="149"/>
      <c r="K140" s="149"/>
      <c r="L140" s="149"/>
      <c r="M140" s="149"/>
      <c r="N140" s="90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</row>
    <row r="141" customFormat="false" ht="11.25" hidden="false" customHeight="true" outlineLevel="0" collapsed="false">
      <c r="A141" s="147"/>
      <c r="B141" s="147"/>
      <c r="C141" s="147"/>
      <c r="D141" s="90"/>
      <c r="E141" s="147"/>
      <c r="F141" s="148"/>
      <c r="G141" s="148"/>
      <c r="H141" s="148"/>
      <c r="I141" s="148"/>
      <c r="J141" s="149"/>
      <c r="K141" s="149"/>
      <c r="L141" s="149"/>
      <c r="M141" s="149"/>
      <c r="N141" s="90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</row>
    <row r="142" customFormat="false" ht="11.25" hidden="false" customHeight="true" outlineLevel="0" collapsed="false">
      <c r="A142" s="147"/>
      <c r="B142" s="147"/>
      <c r="C142" s="147"/>
      <c r="D142" s="90"/>
      <c r="E142" s="147"/>
      <c r="F142" s="148"/>
      <c r="G142" s="148"/>
      <c r="H142" s="148"/>
      <c r="I142" s="148"/>
      <c r="J142" s="149"/>
      <c r="K142" s="149"/>
      <c r="L142" s="149"/>
      <c r="M142" s="149"/>
      <c r="N142" s="90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</row>
    <row r="143" customFormat="false" ht="11.25" hidden="false" customHeight="true" outlineLevel="0" collapsed="false">
      <c r="A143" s="147"/>
      <c r="B143" s="147"/>
      <c r="C143" s="147"/>
      <c r="D143" s="90"/>
      <c r="E143" s="147"/>
      <c r="F143" s="148"/>
      <c r="G143" s="148"/>
      <c r="H143" s="148"/>
      <c r="I143" s="148"/>
      <c r="J143" s="149"/>
      <c r="K143" s="149"/>
      <c r="L143" s="149"/>
      <c r="M143" s="149"/>
      <c r="N143" s="90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</row>
    <row r="144" customFormat="false" ht="11.25" hidden="false" customHeight="true" outlineLevel="0" collapsed="false">
      <c r="A144" s="147"/>
      <c r="B144" s="147"/>
      <c r="C144" s="147"/>
      <c r="D144" s="90"/>
      <c r="E144" s="147"/>
      <c r="F144" s="148"/>
      <c r="G144" s="148"/>
      <c r="H144" s="148"/>
      <c r="I144" s="148"/>
      <c r="J144" s="149"/>
      <c r="K144" s="149"/>
      <c r="L144" s="149"/>
      <c r="M144" s="149"/>
      <c r="N144" s="90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</row>
    <row r="145" customFormat="false" ht="11.25" hidden="false" customHeight="true" outlineLevel="0" collapsed="false">
      <c r="A145" s="147"/>
      <c r="B145" s="147"/>
      <c r="C145" s="147"/>
      <c r="D145" s="90"/>
      <c r="E145" s="147"/>
      <c r="F145" s="148"/>
      <c r="G145" s="148"/>
      <c r="H145" s="148"/>
      <c r="I145" s="148"/>
      <c r="J145" s="149"/>
      <c r="K145" s="149"/>
      <c r="L145" s="149"/>
      <c r="M145" s="149"/>
      <c r="N145" s="90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customFormat="false" ht="11.25" hidden="false" customHeight="true" outlineLevel="0" collapsed="false">
      <c r="A146" s="147"/>
      <c r="B146" s="147"/>
      <c r="C146" s="147"/>
      <c r="D146" s="90"/>
      <c r="E146" s="147"/>
      <c r="F146" s="148"/>
      <c r="G146" s="148"/>
      <c r="H146" s="148"/>
      <c r="I146" s="148"/>
      <c r="J146" s="149"/>
      <c r="K146" s="149"/>
      <c r="L146" s="149"/>
      <c r="M146" s="149"/>
      <c r="N146" s="90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customFormat="false" ht="11.25" hidden="false" customHeight="true" outlineLevel="0" collapsed="false">
      <c r="A147" s="147"/>
      <c r="B147" s="147"/>
      <c r="C147" s="147"/>
      <c r="D147" s="90"/>
      <c r="E147" s="147"/>
      <c r="F147" s="148"/>
      <c r="G147" s="148"/>
      <c r="H147" s="148"/>
      <c r="I147" s="148"/>
      <c r="J147" s="149"/>
      <c r="K147" s="149"/>
      <c r="L147" s="149"/>
      <c r="M147" s="149"/>
      <c r="N147" s="90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customFormat="false" ht="11.25" hidden="false" customHeight="true" outlineLevel="0" collapsed="false">
      <c r="A148" s="147"/>
      <c r="B148" s="147"/>
      <c r="C148" s="147"/>
      <c r="D148" s="90"/>
      <c r="E148" s="147"/>
      <c r="F148" s="148"/>
      <c r="G148" s="148"/>
      <c r="H148" s="148"/>
      <c r="I148" s="148"/>
      <c r="J148" s="149"/>
      <c r="K148" s="149"/>
      <c r="L148" s="149"/>
      <c r="M148" s="149"/>
      <c r="N148" s="90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customFormat="false" ht="11.25" hidden="false" customHeight="true" outlineLevel="0" collapsed="false">
      <c r="A149" s="147"/>
      <c r="B149" s="147"/>
      <c r="C149" s="147"/>
      <c r="D149" s="90"/>
      <c r="E149" s="147"/>
      <c r="F149" s="148"/>
      <c r="G149" s="148"/>
      <c r="H149" s="148"/>
      <c r="I149" s="148"/>
      <c r="J149" s="149"/>
      <c r="K149" s="149"/>
      <c r="L149" s="149"/>
      <c r="M149" s="149"/>
      <c r="N149" s="90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customFormat="false" ht="11.25" hidden="false" customHeight="true" outlineLevel="0" collapsed="false">
      <c r="A150" s="147"/>
      <c r="B150" s="147"/>
      <c r="C150" s="147"/>
      <c r="D150" s="90"/>
      <c r="E150" s="147"/>
      <c r="F150" s="148"/>
      <c r="G150" s="148"/>
      <c r="H150" s="148"/>
      <c r="I150" s="148"/>
      <c r="J150" s="149"/>
      <c r="K150" s="149"/>
      <c r="L150" s="149"/>
      <c r="M150" s="149"/>
      <c r="N150" s="90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customFormat="false" ht="11.25" hidden="false" customHeight="true" outlineLevel="0" collapsed="false">
      <c r="A151" s="147"/>
      <c r="B151" s="147"/>
      <c r="C151" s="147"/>
      <c r="D151" s="90"/>
      <c r="E151" s="147"/>
      <c r="F151" s="148"/>
      <c r="G151" s="148"/>
      <c r="H151" s="148"/>
      <c r="I151" s="148"/>
      <c r="J151" s="149"/>
      <c r="K151" s="149"/>
      <c r="L151" s="149"/>
      <c r="M151" s="149"/>
      <c r="N151" s="90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customFormat="false" ht="11.25" hidden="false" customHeight="true" outlineLevel="0" collapsed="false">
      <c r="A152" s="147"/>
      <c r="B152" s="147"/>
      <c r="C152" s="147"/>
      <c r="D152" s="90"/>
      <c r="E152" s="147"/>
      <c r="F152" s="148"/>
      <c r="G152" s="148"/>
      <c r="H152" s="148"/>
      <c r="I152" s="148"/>
      <c r="J152" s="149"/>
      <c r="K152" s="149"/>
      <c r="L152" s="149"/>
      <c r="M152" s="149"/>
      <c r="N152" s="90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customFormat="false" ht="11.25" hidden="false" customHeight="true" outlineLevel="0" collapsed="false">
      <c r="A153" s="147"/>
      <c r="B153" s="147"/>
      <c r="C153" s="147"/>
      <c r="D153" s="90"/>
      <c r="E153" s="147"/>
      <c r="F153" s="148"/>
      <c r="G153" s="148"/>
      <c r="H153" s="148"/>
      <c r="I153" s="148"/>
      <c r="J153" s="149"/>
      <c r="K153" s="149"/>
      <c r="L153" s="149"/>
      <c r="M153" s="149"/>
      <c r="N153" s="90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customFormat="false" ht="11.25" hidden="false" customHeight="true" outlineLevel="0" collapsed="false">
      <c r="A154" s="147"/>
      <c r="B154" s="147"/>
      <c r="C154" s="147"/>
      <c r="D154" s="90"/>
      <c r="E154" s="147"/>
      <c r="F154" s="148"/>
      <c r="G154" s="148"/>
      <c r="H154" s="148"/>
      <c r="I154" s="148"/>
      <c r="J154" s="149"/>
      <c r="K154" s="149"/>
      <c r="L154" s="149"/>
      <c r="M154" s="149"/>
      <c r="N154" s="90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customFormat="false" ht="11.25" hidden="false" customHeight="true" outlineLevel="0" collapsed="false">
      <c r="A155" s="147"/>
      <c r="B155" s="147"/>
      <c r="C155" s="147"/>
      <c r="D155" s="90"/>
      <c r="E155" s="147"/>
      <c r="F155" s="148"/>
      <c r="G155" s="148"/>
      <c r="H155" s="148"/>
      <c r="I155" s="148"/>
      <c r="J155" s="149"/>
      <c r="K155" s="149"/>
      <c r="L155" s="149"/>
      <c r="M155" s="149"/>
      <c r="N155" s="90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customFormat="false" ht="11.25" hidden="false" customHeight="true" outlineLevel="0" collapsed="false">
      <c r="A156" s="147"/>
      <c r="B156" s="147"/>
      <c r="C156" s="147"/>
      <c r="D156" s="90"/>
      <c r="E156" s="147"/>
      <c r="F156" s="148"/>
      <c r="G156" s="148"/>
      <c r="H156" s="148"/>
      <c r="I156" s="148"/>
      <c r="J156" s="149"/>
      <c r="K156" s="149"/>
      <c r="L156" s="149"/>
      <c r="M156" s="149"/>
      <c r="N156" s="90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customFormat="false" ht="11.25" hidden="false" customHeight="true" outlineLevel="0" collapsed="false">
      <c r="A157" s="89"/>
      <c r="B157" s="89"/>
      <c r="C157" s="89"/>
      <c r="D157" s="150"/>
      <c r="E157" s="89"/>
      <c r="F157" s="151"/>
      <c r="G157" s="151"/>
      <c r="H157" s="151"/>
      <c r="I157" s="151"/>
      <c r="J157" s="152"/>
      <c r="K157" s="152"/>
      <c r="L157" s="152"/>
      <c r="M157" s="152"/>
      <c r="N157" s="150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customFormat="false" ht="11.25" hidden="false" customHeight="true" outlineLevel="0" collapsed="false">
      <c r="A158" s="89"/>
      <c r="B158" s="89"/>
      <c r="C158" s="89"/>
      <c r="D158" s="150"/>
      <c r="E158" s="89"/>
      <c r="F158" s="151"/>
      <c r="G158" s="151"/>
      <c r="H158" s="151"/>
      <c r="I158" s="151"/>
      <c r="J158" s="152"/>
      <c r="K158" s="152"/>
      <c r="L158" s="152"/>
      <c r="M158" s="152"/>
      <c r="N158" s="150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customFormat="false" ht="11.25" hidden="false" customHeight="true" outlineLevel="0" collapsed="false">
      <c r="A159" s="89"/>
      <c r="B159" s="89"/>
      <c r="C159" s="89"/>
      <c r="D159" s="150"/>
      <c r="E159" s="89"/>
      <c r="F159" s="151"/>
      <c r="G159" s="151"/>
      <c r="H159" s="151"/>
      <c r="I159" s="151"/>
      <c r="J159" s="152"/>
      <c r="K159" s="152"/>
      <c r="L159" s="152"/>
      <c r="M159" s="152"/>
      <c r="N159" s="150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customFormat="false" ht="11.25" hidden="false" customHeight="true" outlineLevel="0" collapsed="false">
      <c r="A160" s="89"/>
      <c r="B160" s="89"/>
      <c r="C160" s="89"/>
      <c r="D160" s="150"/>
      <c r="E160" s="89"/>
      <c r="F160" s="151"/>
      <c r="G160" s="151"/>
      <c r="H160" s="151"/>
      <c r="I160" s="151"/>
      <c r="J160" s="152"/>
      <c r="K160" s="152"/>
      <c r="L160" s="152"/>
      <c r="M160" s="152"/>
      <c r="N160" s="150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customFormat="false" ht="11.25" hidden="false" customHeight="true" outlineLevel="0" collapsed="false">
      <c r="A161" s="89"/>
      <c r="B161" s="89"/>
      <c r="C161" s="89"/>
      <c r="D161" s="150"/>
      <c r="E161" s="89"/>
      <c r="F161" s="151"/>
      <c r="G161" s="151"/>
      <c r="H161" s="151"/>
      <c r="I161" s="151"/>
      <c r="J161" s="152"/>
      <c r="K161" s="152"/>
      <c r="L161" s="152"/>
      <c r="M161" s="152"/>
      <c r="N161" s="150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customFormat="false" ht="11.25" hidden="false" customHeight="true" outlineLevel="0" collapsed="false">
      <c r="A162" s="89"/>
      <c r="B162" s="89"/>
      <c r="C162" s="89"/>
      <c r="D162" s="150"/>
      <c r="E162" s="89"/>
      <c r="F162" s="151"/>
      <c r="G162" s="151"/>
      <c r="H162" s="151"/>
      <c r="I162" s="151"/>
      <c r="J162" s="152"/>
      <c r="K162" s="152"/>
      <c r="L162" s="152"/>
      <c r="M162" s="152"/>
      <c r="N162" s="150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customFormat="false" ht="11.25" hidden="false" customHeight="true" outlineLevel="0" collapsed="false">
      <c r="A163" s="89"/>
      <c r="B163" s="89"/>
      <c r="C163" s="89"/>
      <c r="D163" s="150"/>
      <c r="E163" s="89"/>
      <c r="F163" s="151"/>
      <c r="G163" s="151"/>
      <c r="H163" s="151"/>
      <c r="I163" s="151"/>
      <c r="J163" s="152"/>
      <c r="K163" s="152"/>
      <c r="L163" s="152"/>
      <c r="M163" s="152"/>
      <c r="N163" s="150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customFormat="false" ht="11.25" hidden="false" customHeight="true" outlineLevel="0" collapsed="false">
      <c r="A164" s="89"/>
      <c r="B164" s="89"/>
      <c r="C164" s="89"/>
      <c r="D164" s="150"/>
      <c r="E164" s="89"/>
      <c r="F164" s="151"/>
      <c r="G164" s="151"/>
      <c r="H164" s="151"/>
      <c r="I164" s="151"/>
      <c r="J164" s="152"/>
      <c r="K164" s="152"/>
      <c r="L164" s="152"/>
      <c r="M164" s="152"/>
      <c r="N164" s="150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customFormat="false" ht="11.25" hidden="false" customHeight="true" outlineLevel="0" collapsed="false">
      <c r="A165" s="89"/>
      <c r="B165" s="89"/>
      <c r="C165" s="89"/>
      <c r="D165" s="150"/>
      <c r="E165" s="89"/>
      <c r="F165" s="151"/>
      <c r="G165" s="151"/>
      <c r="H165" s="151"/>
      <c r="I165" s="151"/>
      <c r="J165" s="152"/>
      <c r="K165" s="152"/>
      <c r="L165" s="152"/>
      <c r="M165" s="152"/>
      <c r="N165" s="150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customFormat="false" ht="11.25" hidden="false" customHeight="true" outlineLevel="0" collapsed="false">
      <c r="A166" s="89"/>
      <c r="B166" s="89"/>
      <c r="C166" s="89"/>
      <c r="D166" s="150"/>
      <c r="E166" s="89"/>
      <c r="F166" s="151"/>
      <c r="G166" s="151"/>
      <c r="H166" s="151"/>
      <c r="I166" s="151"/>
      <c r="J166" s="152"/>
      <c r="K166" s="152"/>
      <c r="L166" s="152"/>
      <c r="M166" s="152"/>
      <c r="N166" s="150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customFormat="false" ht="11.25" hidden="false" customHeight="true" outlineLevel="0" collapsed="false">
      <c r="A167" s="89"/>
      <c r="B167" s="89"/>
      <c r="C167" s="89"/>
      <c r="D167" s="150"/>
      <c r="E167" s="89"/>
      <c r="F167" s="151"/>
      <c r="G167" s="151"/>
      <c r="H167" s="151"/>
      <c r="I167" s="151"/>
      <c r="J167" s="152"/>
      <c r="K167" s="152"/>
      <c r="L167" s="152"/>
      <c r="M167" s="152"/>
      <c r="N167" s="150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customFormat="false" ht="11.25" hidden="false" customHeight="true" outlineLevel="0" collapsed="false">
      <c r="A168" s="89"/>
      <c r="B168" s="89"/>
      <c r="C168" s="89"/>
      <c r="D168" s="150"/>
      <c r="E168" s="89"/>
      <c r="F168" s="151"/>
      <c r="G168" s="151"/>
      <c r="H168" s="151"/>
      <c r="I168" s="151"/>
      <c r="J168" s="152"/>
      <c r="K168" s="152"/>
      <c r="L168" s="152"/>
      <c r="M168" s="152"/>
      <c r="N168" s="150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customFormat="false" ht="11.25" hidden="false" customHeight="true" outlineLevel="0" collapsed="false">
      <c r="A169" s="89"/>
      <c r="B169" s="89"/>
      <c r="C169" s="89"/>
      <c r="D169" s="150"/>
      <c r="E169" s="89"/>
      <c r="F169" s="151"/>
      <c r="G169" s="151"/>
      <c r="H169" s="151"/>
      <c r="I169" s="151"/>
      <c r="J169" s="152"/>
      <c r="K169" s="152"/>
      <c r="L169" s="152"/>
      <c r="M169" s="152"/>
      <c r="N169" s="150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customFormat="false" ht="11.25" hidden="false" customHeight="true" outlineLevel="0" collapsed="false">
      <c r="A170" s="89"/>
      <c r="B170" s="89"/>
      <c r="C170" s="89"/>
      <c r="D170" s="150"/>
      <c r="E170" s="89"/>
      <c r="F170" s="151"/>
      <c r="G170" s="151"/>
      <c r="H170" s="151"/>
      <c r="I170" s="151"/>
      <c r="J170" s="152"/>
      <c r="K170" s="152"/>
      <c r="L170" s="152"/>
      <c r="M170" s="152"/>
      <c r="N170" s="150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</row>
    <row r="171" customFormat="false" ht="11.25" hidden="false" customHeight="true" outlineLevel="0" collapsed="false">
      <c r="A171" s="89"/>
      <c r="B171" s="89"/>
      <c r="C171" s="89"/>
      <c r="D171" s="150"/>
      <c r="E171" s="89"/>
      <c r="F171" s="151"/>
      <c r="G171" s="151"/>
      <c r="H171" s="151"/>
      <c r="I171" s="151"/>
      <c r="J171" s="152"/>
      <c r="K171" s="152"/>
      <c r="L171" s="152"/>
      <c r="M171" s="152"/>
      <c r="N171" s="150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customFormat="false" ht="11.25" hidden="false" customHeight="true" outlineLevel="0" collapsed="false">
      <c r="A172" s="89"/>
      <c r="B172" s="89"/>
      <c r="C172" s="89"/>
      <c r="D172" s="150"/>
      <c r="E172" s="89"/>
      <c r="F172" s="151"/>
      <c r="G172" s="151"/>
      <c r="H172" s="151"/>
      <c r="I172" s="151"/>
      <c r="J172" s="152"/>
      <c r="K172" s="152"/>
      <c r="L172" s="152"/>
      <c r="M172" s="152"/>
      <c r="N172" s="150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customFormat="false" ht="11.25" hidden="false" customHeight="true" outlineLevel="0" collapsed="false">
      <c r="A173" s="89"/>
      <c r="B173" s="89"/>
      <c r="C173" s="89"/>
      <c r="D173" s="150"/>
      <c r="E173" s="89"/>
      <c r="F173" s="151"/>
      <c r="G173" s="151"/>
      <c r="H173" s="151"/>
      <c r="I173" s="151"/>
      <c r="J173" s="152"/>
      <c r="K173" s="152"/>
      <c r="L173" s="152"/>
      <c r="M173" s="152"/>
      <c r="N173" s="150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customFormat="false" ht="11.25" hidden="false" customHeight="true" outlineLevel="0" collapsed="false">
      <c r="A174" s="89"/>
      <c r="B174" s="89"/>
      <c r="C174" s="89"/>
      <c r="D174" s="150"/>
      <c r="E174" s="89"/>
      <c r="F174" s="151"/>
      <c r="G174" s="151"/>
      <c r="H174" s="151"/>
      <c r="I174" s="151"/>
      <c r="J174" s="152"/>
      <c r="K174" s="152"/>
      <c r="L174" s="152"/>
      <c r="M174" s="152"/>
      <c r="N174" s="150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customFormat="false" ht="11.25" hidden="false" customHeight="true" outlineLevel="0" collapsed="false">
      <c r="A175" s="89"/>
      <c r="B175" s="89"/>
      <c r="C175" s="89"/>
      <c r="D175" s="150"/>
      <c r="E175" s="89"/>
      <c r="F175" s="151"/>
      <c r="G175" s="151"/>
      <c r="H175" s="151"/>
      <c r="I175" s="151"/>
      <c r="J175" s="152"/>
      <c r="K175" s="152"/>
      <c r="L175" s="152"/>
      <c r="M175" s="152"/>
      <c r="N175" s="150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customFormat="false" ht="11.25" hidden="false" customHeight="true" outlineLevel="0" collapsed="false">
      <c r="A176" s="89"/>
      <c r="B176" s="89"/>
      <c r="C176" s="89"/>
      <c r="D176" s="150"/>
      <c r="E176" s="89"/>
      <c r="F176" s="151"/>
      <c r="G176" s="151"/>
      <c r="H176" s="151"/>
      <c r="I176" s="151"/>
      <c r="J176" s="152"/>
      <c r="K176" s="152"/>
      <c r="L176" s="152"/>
      <c r="M176" s="152"/>
      <c r="N176" s="150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customFormat="false" ht="11.25" hidden="false" customHeight="true" outlineLevel="0" collapsed="false">
      <c r="A177" s="89"/>
      <c r="B177" s="89"/>
      <c r="C177" s="89"/>
      <c r="D177" s="150"/>
      <c r="E177" s="89"/>
      <c r="F177" s="151"/>
      <c r="G177" s="151"/>
      <c r="H177" s="151"/>
      <c r="I177" s="151"/>
      <c r="J177" s="152"/>
      <c r="K177" s="152"/>
      <c r="L177" s="152"/>
      <c r="M177" s="152"/>
      <c r="N177" s="150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customFormat="false" ht="11.25" hidden="false" customHeight="true" outlineLevel="0" collapsed="false">
      <c r="A178" s="89"/>
      <c r="B178" s="89"/>
      <c r="C178" s="89"/>
      <c r="D178" s="150"/>
      <c r="E178" s="89"/>
      <c r="F178" s="151"/>
      <c r="G178" s="151"/>
      <c r="H178" s="151"/>
      <c r="I178" s="151"/>
      <c r="J178" s="152"/>
      <c r="K178" s="152"/>
      <c r="L178" s="152"/>
      <c r="M178" s="152"/>
      <c r="N178" s="150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customFormat="false" ht="11.25" hidden="false" customHeight="true" outlineLevel="0" collapsed="false">
      <c r="A179" s="89"/>
      <c r="B179" s="89"/>
      <c r="C179" s="89"/>
      <c r="D179" s="150"/>
      <c r="E179" s="89"/>
      <c r="F179" s="151"/>
      <c r="G179" s="151"/>
      <c r="H179" s="151"/>
      <c r="I179" s="151"/>
      <c r="J179" s="152"/>
      <c r="K179" s="152"/>
      <c r="L179" s="152"/>
      <c r="M179" s="152"/>
      <c r="N179" s="150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customFormat="false" ht="11.25" hidden="false" customHeight="true" outlineLevel="0" collapsed="false">
      <c r="A180" s="89"/>
      <c r="B180" s="89"/>
      <c r="C180" s="89"/>
      <c r="D180" s="150"/>
      <c r="E180" s="89"/>
      <c r="F180" s="151"/>
      <c r="G180" s="151"/>
      <c r="H180" s="151"/>
      <c r="I180" s="151"/>
      <c r="J180" s="152"/>
      <c r="K180" s="152"/>
      <c r="L180" s="152"/>
      <c r="M180" s="152"/>
      <c r="N180" s="150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customFormat="false" ht="11.25" hidden="false" customHeight="true" outlineLevel="0" collapsed="false">
      <c r="A181" s="89"/>
      <c r="B181" s="89"/>
      <c r="C181" s="89"/>
      <c r="D181" s="150"/>
      <c r="E181" s="89"/>
      <c r="F181" s="151"/>
      <c r="G181" s="151"/>
      <c r="H181" s="151"/>
      <c r="I181" s="151"/>
      <c r="J181" s="152"/>
      <c r="K181" s="152"/>
      <c r="L181" s="152"/>
      <c r="M181" s="152"/>
      <c r="N181" s="150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customFormat="false" ht="11.25" hidden="false" customHeight="true" outlineLevel="0" collapsed="false">
      <c r="A182" s="89"/>
      <c r="B182" s="89"/>
      <c r="C182" s="89"/>
      <c r="D182" s="150"/>
      <c r="E182" s="89"/>
      <c r="F182" s="151"/>
      <c r="G182" s="151"/>
      <c r="H182" s="151"/>
      <c r="I182" s="151"/>
      <c r="J182" s="152"/>
      <c r="K182" s="152"/>
      <c r="L182" s="152"/>
      <c r="M182" s="152"/>
      <c r="N182" s="150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customFormat="false" ht="11.25" hidden="false" customHeight="true" outlineLevel="0" collapsed="false">
      <c r="A183" s="89"/>
      <c r="B183" s="89"/>
      <c r="C183" s="89"/>
      <c r="D183" s="150"/>
      <c r="E183" s="89"/>
      <c r="F183" s="151"/>
      <c r="G183" s="151"/>
      <c r="H183" s="151"/>
      <c r="I183" s="151"/>
      <c r="J183" s="152"/>
      <c r="K183" s="152"/>
      <c r="L183" s="152"/>
      <c r="M183" s="152"/>
      <c r="N183" s="150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customFormat="false" ht="11.25" hidden="false" customHeight="true" outlineLevel="0" collapsed="false">
      <c r="A184" s="89"/>
      <c r="B184" s="89"/>
      <c r="C184" s="89"/>
      <c r="D184" s="150"/>
      <c r="E184" s="89"/>
      <c r="F184" s="151"/>
      <c r="G184" s="151"/>
      <c r="H184" s="151"/>
      <c r="I184" s="151"/>
      <c r="J184" s="152"/>
      <c r="K184" s="152"/>
      <c r="L184" s="152"/>
      <c r="M184" s="152"/>
      <c r="N184" s="150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customFormat="false" ht="11.25" hidden="false" customHeight="true" outlineLevel="0" collapsed="false">
      <c r="A185" s="89"/>
      <c r="B185" s="89"/>
      <c r="C185" s="89"/>
      <c r="D185" s="150"/>
      <c r="E185" s="89"/>
      <c r="F185" s="151"/>
      <c r="G185" s="151"/>
      <c r="H185" s="151"/>
      <c r="I185" s="151"/>
      <c r="J185" s="152"/>
      <c r="K185" s="152"/>
      <c r="L185" s="152"/>
      <c r="M185" s="152"/>
      <c r="N185" s="150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customFormat="false" ht="11.25" hidden="false" customHeight="true" outlineLevel="0" collapsed="false">
      <c r="A186" s="89"/>
      <c r="B186" s="89"/>
      <c r="C186" s="89"/>
      <c r="D186" s="150"/>
      <c r="E186" s="89"/>
      <c r="F186" s="151"/>
      <c r="G186" s="151"/>
      <c r="H186" s="151"/>
      <c r="I186" s="151"/>
      <c r="J186" s="152"/>
      <c r="K186" s="152"/>
      <c r="L186" s="152"/>
      <c r="M186" s="152"/>
      <c r="N186" s="150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customFormat="false" ht="11.25" hidden="false" customHeight="true" outlineLevel="0" collapsed="false">
      <c r="A187" s="89"/>
      <c r="B187" s="89"/>
      <c r="C187" s="89"/>
      <c r="D187" s="150"/>
      <c r="E187" s="89"/>
      <c r="F187" s="151"/>
      <c r="G187" s="151"/>
      <c r="H187" s="151"/>
      <c r="I187" s="151"/>
      <c r="J187" s="152"/>
      <c r="K187" s="152"/>
      <c r="L187" s="152"/>
      <c r="M187" s="152"/>
      <c r="N187" s="150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customFormat="false" ht="11.25" hidden="false" customHeight="true" outlineLevel="0" collapsed="false">
      <c r="A188" s="89"/>
      <c r="B188" s="89"/>
      <c r="C188" s="89"/>
      <c r="D188" s="150"/>
      <c r="E188" s="89"/>
      <c r="F188" s="151"/>
      <c r="G188" s="151"/>
      <c r="H188" s="151"/>
      <c r="I188" s="151"/>
      <c r="J188" s="152"/>
      <c r="K188" s="152"/>
      <c r="L188" s="152"/>
      <c r="M188" s="152"/>
      <c r="N188" s="150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customFormat="false" ht="11.25" hidden="false" customHeight="true" outlineLevel="0" collapsed="false">
      <c r="A189" s="89"/>
      <c r="B189" s="89"/>
      <c r="C189" s="89"/>
      <c r="D189" s="150"/>
      <c r="E189" s="89"/>
      <c r="F189" s="151"/>
      <c r="G189" s="151"/>
      <c r="H189" s="151"/>
      <c r="I189" s="151"/>
      <c r="J189" s="152"/>
      <c r="K189" s="152"/>
      <c r="L189" s="152"/>
      <c r="M189" s="152"/>
      <c r="N189" s="150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customFormat="false" ht="11.25" hidden="false" customHeight="true" outlineLevel="0" collapsed="false">
      <c r="A190" s="89"/>
      <c r="B190" s="89"/>
      <c r="C190" s="89"/>
      <c r="D190" s="150"/>
      <c r="E190" s="89"/>
      <c r="F190" s="151"/>
      <c r="G190" s="151"/>
      <c r="H190" s="151"/>
      <c r="I190" s="151"/>
      <c r="J190" s="152"/>
      <c r="K190" s="152"/>
      <c r="L190" s="152"/>
      <c r="M190" s="152"/>
      <c r="N190" s="150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customFormat="false" ht="11.25" hidden="false" customHeight="true" outlineLevel="0" collapsed="false">
      <c r="A191" s="89"/>
      <c r="B191" s="89"/>
      <c r="C191" s="89"/>
      <c r="D191" s="150"/>
      <c r="E191" s="89"/>
      <c r="F191" s="151"/>
      <c r="G191" s="151"/>
      <c r="H191" s="151"/>
      <c r="I191" s="151"/>
      <c r="J191" s="152"/>
      <c r="K191" s="152"/>
      <c r="L191" s="152"/>
      <c r="M191" s="152"/>
      <c r="N191" s="150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customFormat="false" ht="11.25" hidden="false" customHeight="true" outlineLevel="0" collapsed="false">
      <c r="A192" s="89"/>
      <c r="B192" s="89"/>
      <c r="C192" s="89"/>
      <c r="D192" s="150"/>
      <c r="E192" s="89"/>
      <c r="F192" s="151"/>
      <c r="G192" s="151"/>
      <c r="H192" s="151"/>
      <c r="I192" s="151"/>
      <c r="J192" s="152"/>
      <c r="K192" s="152"/>
      <c r="L192" s="152"/>
      <c r="M192" s="152"/>
      <c r="N192" s="150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customFormat="false" ht="11.25" hidden="false" customHeight="true" outlineLevel="0" collapsed="false">
      <c r="A193" s="89"/>
      <c r="B193" s="89"/>
      <c r="C193" s="89"/>
      <c r="D193" s="150"/>
      <c r="E193" s="89"/>
      <c r="F193" s="151"/>
      <c r="G193" s="151"/>
      <c r="H193" s="151"/>
      <c r="I193" s="151"/>
      <c r="J193" s="152"/>
      <c r="K193" s="152"/>
      <c r="L193" s="152"/>
      <c r="M193" s="152"/>
      <c r="N193" s="150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customFormat="false" ht="11.25" hidden="false" customHeight="true" outlineLevel="0" collapsed="false">
      <c r="A194" s="89"/>
      <c r="B194" s="89"/>
      <c r="C194" s="89"/>
      <c r="D194" s="150"/>
      <c r="E194" s="89"/>
      <c r="F194" s="151"/>
      <c r="G194" s="151"/>
      <c r="H194" s="151"/>
      <c r="I194" s="151"/>
      <c r="J194" s="152"/>
      <c r="K194" s="152"/>
      <c r="L194" s="152"/>
      <c r="M194" s="152"/>
      <c r="N194" s="150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customFormat="false" ht="11.25" hidden="false" customHeight="true" outlineLevel="0" collapsed="false">
      <c r="A195" s="89"/>
      <c r="B195" s="89"/>
      <c r="C195" s="89"/>
      <c r="D195" s="150"/>
      <c r="E195" s="89"/>
      <c r="F195" s="151"/>
      <c r="G195" s="151"/>
      <c r="H195" s="151"/>
      <c r="I195" s="151"/>
      <c r="J195" s="152"/>
      <c r="K195" s="152"/>
      <c r="L195" s="152"/>
      <c r="M195" s="152"/>
      <c r="N195" s="150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customFormat="false" ht="11.25" hidden="false" customHeight="true" outlineLevel="0" collapsed="false">
      <c r="A196" s="89"/>
      <c r="B196" s="89"/>
      <c r="C196" s="89"/>
      <c r="D196" s="150"/>
      <c r="E196" s="89"/>
      <c r="F196" s="151"/>
      <c r="G196" s="151"/>
      <c r="H196" s="151"/>
      <c r="I196" s="151"/>
      <c r="J196" s="152"/>
      <c r="K196" s="152"/>
      <c r="L196" s="152"/>
      <c r="M196" s="152"/>
      <c r="N196" s="150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</row>
    <row r="197" customFormat="false" ht="11.25" hidden="false" customHeight="true" outlineLevel="0" collapsed="false">
      <c r="A197" s="89"/>
      <c r="B197" s="89"/>
      <c r="C197" s="89"/>
      <c r="D197" s="150"/>
      <c r="E197" s="89"/>
      <c r="F197" s="151"/>
      <c r="G197" s="151"/>
      <c r="H197" s="151"/>
      <c r="I197" s="151"/>
      <c r="J197" s="152"/>
      <c r="K197" s="152"/>
      <c r="L197" s="152"/>
      <c r="M197" s="152"/>
      <c r="N197" s="150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customFormat="false" ht="11.25" hidden="false" customHeight="true" outlineLevel="0" collapsed="false">
      <c r="A198" s="89"/>
      <c r="B198" s="89"/>
      <c r="C198" s="89"/>
      <c r="D198" s="150"/>
      <c r="E198" s="89"/>
      <c r="F198" s="151"/>
      <c r="G198" s="151"/>
      <c r="H198" s="151"/>
      <c r="I198" s="151"/>
      <c r="J198" s="152"/>
      <c r="K198" s="152"/>
      <c r="L198" s="152"/>
      <c r="M198" s="152"/>
      <c r="N198" s="150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customFormat="false" ht="11.25" hidden="false" customHeight="true" outlineLevel="0" collapsed="false">
      <c r="A199" s="89"/>
      <c r="B199" s="89"/>
      <c r="C199" s="89"/>
      <c r="D199" s="150"/>
      <c r="E199" s="89"/>
      <c r="F199" s="151"/>
      <c r="G199" s="151"/>
      <c r="H199" s="151"/>
      <c r="I199" s="151"/>
      <c r="J199" s="152"/>
      <c r="K199" s="152"/>
      <c r="L199" s="152"/>
      <c r="M199" s="152"/>
      <c r="N199" s="150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customFormat="false" ht="11.25" hidden="false" customHeight="true" outlineLevel="0" collapsed="false">
      <c r="A200" s="89"/>
      <c r="B200" s="89"/>
      <c r="C200" s="89"/>
      <c r="D200" s="150"/>
      <c r="E200" s="89"/>
      <c r="F200" s="151"/>
      <c r="G200" s="151"/>
      <c r="H200" s="151"/>
      <c r="I200" s="151"/>
      <c r="J200" s="152"/>
      <c r="K200" s="152"/>
      <c r="L200" s="152"/>
      <c r="M200" s="152"/>
      <c r="N200" s="150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customFormat="false" ht="11.25" hidden="false" customHeight="true" outlineLevel="0" collapsed="false">
      <c r="A201" s="89"/>
      <c r="B201" s="89"/>
      <c r="C201" s="89"/>
      <c r="D201" s="150"/>
      <c r="E201" s="89"/>
      <c r="F201" s="151"/>
      <c r="G201" s="151"/>
      <c r="H201" s="151"/>
      <c r="I201" s="151"/>
      <c r="J201" s="152"/>
      <c r="K201" s="152"/>
      <c r="L201" s="152"/>
      <c r="M201" s="152"/>
      <c r="N201" s="150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customFormat="false" ht="11.25" hidden="false" customHeight="true" outlineLevel="0" collapsed="false">
      <c r="A202" s="89"/>
      <c r="B202" s="89"/>
      <c r="C202" s="89"/>
      <c r="D202" s="150"/>
      <c r="E202" s="89"/>
      <c r="F202" s="151"/>
      <c r="G202" s="151"/>
      <c r="H202" s="151"/>
      <c r="I202" s="151"/>
      <c r="J202" s="152"/>
      <c r="K202" s="152"/>
      <c r="L202" s="152"/>
      <c r="M202" s="152"/>
      <c r="N202" s="150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customFormat="false" ht="11.25" hidden="false" customHeight="true" outlineLevel="0" collapsed="false">
      <c r="A203" s="89"/>
      <c r="B203" s="89"/>
      <c r="C203" s="89"/>
      <c r="D203" s="150"/>
      <c r="E203" s="89"/>
      <c r="F203" s="151"/>
      <c r="G203" s="151"/>
      <c r="H203" s="151"/>
      <c r="I203" s="151"/>
      <c r="J203" s="152"/>
      <c r="K203" s="152"/>
      <c r="L203" s="152"/>
      <c r="M203" s="152"/>
      <c r="N203" s="150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customFormat="false" ht="11.25" hidden="false" customHeight="true" outlineLevel="0" collapsed="false">
      <c r="A204" s="89"/>
      <c r="B204" s="89"/>
      <c r="C204" s="89"/>
      <c r="D204" s="150"/>
      <c r="E204" s="89"/>
      <c r="F204" s="151"/>
      <c r="G204" s="151"/>
      <c r="H204" s="151"/>
      <c r="I204" s="151"/>
      <c r="J204" s="152"/>
      <c r="K204" s="152"/>
      <c r="L204" s="152"/>
      <c r="M204" s="152"/>
      <c r="N204" s="150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customFormat="false" ht="11.25" hidden="false" customHeight="true" outlineLevel="0" collapsed="false">
      <c r="A205" s="89"/>
      <c r="B205" s="89"/>
      <c r="C205" s="89"/>
      <c r="D205" s="150"/>
      <c r="E205" s="89"/>
      <c r="F205" s="151"/>
      <c r="G205" s="151"/>
      <c r="H205" s="151"/>
      <c r="I205" s="151"/>
      <c r="J205" s="152"/>
      <c r="K205" s="152"/>
      <c r="L205" s="152"/>
      <c r="M205" s="152"/>
      <c r="N205" s="150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customFormat="false" ht="11.25" hidden="false" customHeight="true" outlineLevel="0" collapsed="false">
      <c r="A206" s="89"/>
      <c r="B206" s="89"/>
      <c r="C206" s="89"/>
      <c r="D206" s="150"/>
      <c r="E206" s="89"/>
      <c r="F206" s="151"/>
      <c r="G206" s="151"/>
      <c r="H206" s="151"/>
      <c r="I206" s="151"/>
      <c r="J206" s="152"/>
      <c r="K206" s="152"/>
      <c r="L206" s="152"/>
      <c r="M206" s="152"/>
      <c r="N206" s="150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customFormat="false" ht="11.25" hidden="false" customHeight="true" outlineLevel="0" collapsed="false">
      <c r="A207" s="89"/>
      <c r="B207" s="89"/>
      <c r="C207" s="89"/>
      <c r="D207" s="150"/>
      <c r="E207" s="89"/>
      <c r="F207" s="151"/>
      <c r="G207" s="151"/>
      <c r="H207" s="151"/>
      <c r="I207" s="151"/>
      <c r="J207" s="152"/>
      <c r="K207" s="152"/>
      <c r="L207" s="152"/>
      <c r="M207" s="152"/>
      <c r="N207" s="150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customFormat="false" ht="11.25" hidden="false" customHeight="true" outlineLevel="0" collapsed="false">
      <c r="A208" s="89"/>
      <c r="B208" s="89"/>
      <c r="C208" s="89"/>
      <c r="D208" s="150"/>
      <c r="E208" s="89"/>
      <c r="F208" s="151"/>
      <c r="G208" s="151"/>
      <c r="H208" s="151"/>
      <c r="I208" s="151"/>
      <c r="J208" s="152"/>
      <c r="K208" s="152"/>
      <c r="L208" s="152"/>
      <c r="M208" s="152"/>
      <c r="N208" s="150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customFormat="false" ht="11.25" hidden="false" customHeight="true" outlineLevel="0" collapsed="false">
      <c r="A209" s="89"/>
      <c r="B209" s="89"/>
      <c r="C209" s="89"/>
      <c r="D209" s="150"/>
      <c r="E209" s="89"/>
      <c r="F209" s="151"/>
      <c r="G209" s="151"/>
      <c r="H209" s="151"/>
      <c r="I209" s="151"/>
      <c r="J209" s="152"/>
      <c r="K209" s="152"/>
      <c r="L209" s="152"/>
      <c r="M209" s="152"/>
      <c r="N209" s="150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customFormat="false" ht="11.25" hidden="false" customHeight="true" outlineLevel="0" collapsed="false">
      <c r="A210" s="89"/>
      <c r="B210" s="89"/>
      <c r="C210" s="89"/>
      <c r="D210" s="150"/>
      <c r="E210" s="89"/>
      <c r="F210" s="151"/>
      <c r="G210" s="151"/>
      <c r="H210" s="151"/>
      <c r="I210" s="151"/>
      <c r="J210" s="152"/>
      <c r="K210" s="152"/>
      <c r="L210" s="152"/>
      <c r="M210" s="152"/>
      <c r="N210" s="150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customFormat="false" ht="11.25" hidden="false" customHeight="true" outlineLevel="0" collapsed="false">
      <c r="A211" s="89"/>
      <c r="B211" s="89"/>
      <c r="C211" s="89"/>
      <c r="D211" s="150"/>
      <c r="E211" s="89"/>
      <c r="F211" s="151"/>
      <c r="G211" s="151"/>
      <c r="H211" s="151"/>
      <c r="I211" s="151"/>
      <c r="J211" s="152"/>
      <c r="K211" s="152"/>
      <c r="L211" s="152"/>
      <c r="M211" s="152"/>
      <c r="N211" s="150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customFormat="false" ht="11.25" hidden="false" customHeight="true" outlineLevel="0" collapsed="false">
      <c r="A212" s="89"/>
      <c r="B212" s="89"/>
      <c r="C212" s="89"/>
      <c r="D212" s="150"/>
      <c r="E212" s="89"/>
      <c r="F212" s="151"/>
      <c r="G212" s="151"/>
      <c r="H212" s="151"/>
      <c r="I212" s="151"/>
      <c r="J212" s="152"/>
      <c r="K212" s="152"/>
      <c r="L212" s="152"/>
      <c r="M212" s="152"/>
      <c r="N212" s="150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customFormat="false" ht="11.25" hidden="false" customHeight="true" outlineLevel="0" collapsed="false">
      <c r="A213" s="89"/>
      <c r="B213" s="89"/>
      <c r="C213" s="89"/>
      <c r="D213" s="150"/>
      <c r="E213" s="89"/>
      <c r="F213" s="151"/>
      <c r="G213" s="151"/>
      <c r="H213" s="151"/>
      <c r="I213" s="151"/>
      <c r="J213" s="152"/>
      <c r="K213" s="152"/>
      <c r="L213" s="152"/>
      <c r="M213" s="152"/>
      <c r="N213" s="150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customFormat="false" ht="11.25" hidden="false" customHeight="true" outlineLevel="0" collapsed="false">
      <c r="A214" s="89"/>
      <c r="B214" s="89"/>
      <c r="C214" s="89"/>
      <c r="D214" s="150"/>
      <c r="E214" s="89"/>
      <c r="F214" s="151"/>
      <c r="G214" s="151"/>
      <c r="H214" s="151"/>
      <c r="I214" s="151"/>
      <c r="J214" s="152"/>
      <c r="K214" s="152"/>
      <c r="L214" s="152"/>
      <c r="M214" s="152"/>
      <c r="N214" s="150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customFormat="false" ht="11.25" hidden="false" customHeight="true" outlineLevel="0" collapsed="false">
      <c r="A215" s="89"/>
      <c r="B215" s="89"/>
      <c r="C215" s="89"/>
      <c r="D215" s="150"/>
      <c r="E215" s="89"/>
      <c r="F215" s="151"/>
      <c r="G215" s="151"/>
      <c r="H215" s="151"/>
      <c r="I215" s="151"/>
      <c r="J215" s="152"/>
      <c r="K215" s="152"/>
      <c r="L215" s="152"/>
      <c r="M215" s="152"/>
      <c r="N215" s="150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customFormat="false" ht="11.25" hidden="false" customHeight="true" outlineLevel="0" collapsed="false">
      <c r="A216" s="89"/>
      <c r="B216" s="89"/>
      <c r="C216" s="89"/>
      <c r="D216" s="150"/>
      <c r="E216" s="89"/>
      <c r="F216" s="151"/>
      <c r="G216" s="151"/>
      <c r="H216" s="151"/>
      <c r="I216" s="151"/>
      <c r="J216" s="152"/>
      <c r="K216" s="152"/>
      <c r="L216" s="152"/>
      <c r="M216" s="152"/>
      <c r="N216" s="150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customFormat="false" ht="11.25" hidden="false" customHeight="true" outlineLevel="0" collapsed="false">
      <c r="A217" s="89"/>
      <c r="B217" s="89"/>
      <c r="C217" s="89"/>
      <c r="D217" s="150"/>
      <c r="E217" s="89"/>
      <c r="F217" s="151"/>
      <c r="G217" s="151"/>
      <c r="H217" s="151"/>
      <c r="I217" s="151"/>
      <c r="J217" s="152"/>
      <c r="K217" s="152"/>
      <c r="L217" s="152"/>
      <c r="M217" s="152"/>
      <c r="N217" s="150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customFormat="false" ht="11.25" hidden="false" customHeight="true" outlineLevel="0" collapsed="false">
      <c r="A218" s="89"/>
      <c r="B218" s="89"/>
      <c r="C218" s="89"/>
      <c r="D218" s="150"/>
      <c r="E218" s="89"/>
      <c r="F218" s="151"/>
      <c r="G218" s="151"/>
      <c r="H218" s="151"/>
      <c r="I218" s="151"/>
      <c r="J218" s="152"/>
      <c r="K218" s="152"/>
      <c r="L218" s="152"/>
      <c r="M218" s="152"/>
      <c r="N218" s="150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customFormat="false" ht="11.25" hidden="false" customHeight="true" outlineLevel="0" collapsed="false">
      <c r="A219" s="89"/>
      <c r="B219" s="89"/>
      <c r="C219" s="89"/>
      <c r="D219" s="150"/>
      <c r="E219" s="89"/>
      <c r="F219" s="151"/>
      <c r="G219" s="151"/>
      <c r="H219" s="151"/>
      <c r="I219" s="151"/>
      <c r="J219" s="152"/>
      <c r="K219" s="152"/>
      <c r="L219" s="152"/>
      <c r="M219" s="152"/>
      <c r="N219" s="150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customFormat="false" ht="11.25" hidden="false" customHeight="true" outlineLevel="0" collapsed="false">
      <c r="A220" s="89"/>
      <c r="B220" s="89"/>
      <c r="C220" s="89"/>
      <c r="D220" s="150"/>
      <c r="E220" s="89"/>
      <c r="F220" s="151"/>
      <c r="G220" s="151"/>
      <c r="H220" s="151"/>
      <c r="I220" s="151"/>
      <c r="J220" s="152"/>
      <c r="K220" s="152"/>
      <c r="L220" s="152"/>
      <c r="M220" s="152"/>
      <c r="N220" s="150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customFormat="false" ht="11.25" hidden="false" customHeight="true" outlineLevel="0" collapsed="false">
      <c r="A221" s="89"/>
      <c r="B221" s="89"/>
      <c r="C221" s="89"/>
      <c r="D221" s="150"/>
      <c r="E221" s="89"/>
      <c r="F221" s="151"/>
      <c r="G221" s="151"/>
      <c r="H221" s="151"/>
      <c r="I221" s="151"/>
      <c r="J221" s="152"/>
      <c r="K221" s="152"/>
      <c r="L221" s="152"/>
      <c r="M221" s="152"/>
      <c r="N221" s="150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</row>
    <row r="222" customFormat="false" ht="11.25" hidden="false" customHeight="true" outlineLevel="0" collapsed="false">
      <c r="A222" s="89"/>
      <c r="B222" s="89"/>
      <c r="C222" s="89"/>
      <c r="D222" s="150"/>
      <c r="E222" s="89"/>
      <c r="F222" s="151"/>
      <c r="G222" s="151"/>
      <c r="H222" s="151"/>
      <c r="I222" s="151"/>
      <c r="J222" s="152"/>
      <c r="K222" s="152"/>
      <c r="L222" s="152"/>
      <c r="M222" s="152"/>
      <c r="N222" s="150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</row>
    <row r="223" customFormat="false" ht="11.25" hidden="false" customHeight="true" outlineLevel="0" collapsed="false">
      <c r="A223" s="89"/>
      <c r="B223" s="89"/>
      <c r="C223" s="89"/>
      <c r="D223" s="150"/>
      <c r="E223" s="89"/>
      <c r="F223" s="151"/>
      <c r="G223" s="151"/>
      <c r="H223" s="151"/>
      <c r="I223" s="151"/>
      <c r="J223" s="152"/>
      <c r="K223" s="152"/>
      <c r="L223" s="152"/>
      <c r="M223" s="152"/>
      <c r="N223" s="150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</row>
    <row r="224" customFormat="false" ht="11.25" hidden="false" customHeight="true" outlineLevel="0" collapsed="false">
      <c r="A224" s="89"/>
      <c r="B224" s="89"/>
      <c r="C224" s="89"/>
      <c r="D224" s="150"/>
      <c r="E224" s="89"/>
      <c r="F224" s="151"/>
      <c r="G224" s="151"/>
      <c r="H224" s="151"/>
      <c r="I224" s="151"/>
      <c r="J224" s="152"/>
      <c r="K224" s="152"/>
      <c r="L224" s="152"/>
      <c r="M224" s="152"/>
      <c r="N224" s="150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</row>
    <row r="225" customFormat="false" ht="11.25" hidden="false" customHeight="true" outlineLevel="0" collapsed="false">
      <c r="A225" s="89"/>
      <c r="B225" s="89"/>
      <c r="C225" s="89"/>
      <c r="D225" s="150"/>
      <c r="E225" s="89"/>
      <c r="F225" s="151"/>
      <c r="G225" s="151"/>
      <c r="H225" s="151"/>
      <c r="I225" s="151"/>
      <c r="J225" s="152"/>
      <c r="K225" s="152"/>
      <c r="L225" s="152"/>
      <c r="M225" s="152"/>
      <c r="N225" s="150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</row>
    <row r="226" customFormat="false" ht="11.25" hidden="false" customHeight="true" outlineLevel="0" collapsed="false">
      <c r="A226" s="89"/>
      <c r="B226" s="89"/>
      <c r="C226" s="89"/>
      <c r="D226" s="150"/>
      <c r="E226" s="89"/>
      <c r="F226" s="151"/>
      <c r="G226" s="151"/>
      <c r="H226" s="151"/>
      <c r="I226" s="151"/>
      <c r="J226" s="152"/>
      <c r="K226" s="152"/>
      <c r="L226" s="152"/>
      <c r="M226" s="152"/>
      <c r="N226" s="150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</row>
    <row r="227" customFormat="false" ht="11.25" hidden="false" customHeight="true" outlineLevel="0" collapsed="false">
      <c r="A227" s="89"/>
      <c r="B227" s="89"/>
      <c r="C227" s="89"/>
      <c r="D227" s="150"/>
      <c r="E227" s="89"/>
      <c r="F227" s="151"/>
      <c r="G227" s="151"/>
      <c r="H227" s="151"/>
      <c r="I227" s="151"/>
      <c r="J227" s="152"/>
      <c r="K227" s="152"/>
      <c r="L227" s="152"/>
      <c r="M227" s="152"/>
      <c r="N227" s="150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</row>
    <row r="228" customFormat="false" ht="11.25" hidden="false" customHeight="true" outlineLevel="0" collapsed="false">
      <c r="A228" s="89"/>
      <c r="B228" s="89"/>
      <c r="C228" s="89"/>
      <c r="D228" s="150"/>
      <c r="E228" s="89"/>
      <c r="F228" s="151"/>
      <c r="G228" s="151"/>
      <c r="H228" s="151"/>
      <c r="I228" s="151"/>
      <c r="J228" s="152"/>
      <c r="K228" s="152"/>
      <c r="L228" s="152"/>
      <c r="M228" s="152"/>
      <c r="N228" s="150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</row>
    <row r="229" customFormat="false" ht="11.25" hidden="false" customHeight="true" outlineLevel="0" collapsed="false">
      <c r="A229" s="89"/>
      <c r="B229" s="89"/>
      <c r="C229" s="89"/>
      <c r="D229" s="150"/>
      <c r="E229" s="89"/>
      <c r="F229" s="151"/>
      <c r="G229" s="151"/>
      <c r="H229" s="151"/>
      <c r="I229" s="151"/>
      <c r="J229" s="152"/>
      <c r="K229" s="152"/>
      <c r="L229" s="152"/>
      <c r="M229" s="152"/>
      <c r="N229" s="150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</row>
    <row r="230" customFormat="false" ht="11.25" hidden="false" customHeight="true" outlineLevel="0" collapsed="false">
      <c r="A230" s="89"/>
      <c r="B230" s="89"/>
      <c r="C230" s="89"/>
      <c r="D230" s="150"/>
      <c r="E230" s="89"/>
      <c r="F230" s="151"/>
      <c r="G230" s="151"/>
      <c r="H230" s="151"/>
      <c r="I230" s="151"/>
      <c r="J230" s="152"/>
      <c r="K230" s="152"/>
      <c r="L230" s="152"/>
      <c r="M230" s="152"/>
      <c r="N230" s="150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</row>
    <row r="231" customFormat="false" ht="11.25" hidden="false" customHeight="true" outlineLevel="0" collapsed="false">
      <c r="A231" s="89"/>
      <c r="B231" s="89"/>
      <c r="C231" s="89"/>
      <c r="D231" s="150"/>
      <c r="E231" s="89"/>
      <c r="F231" s="151"/>
      <c r="G231" s="151"/>
      <c r="H231" s="151"/>
      <c r="I231" s="151"/>
      <c r="J231" s="152"/>
      <c r="K231" s="152"/>
      <c r="L231" s="152"/>
      <c r="M231" s="152"/>
      <c r="N231" s="150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</row>
    <row r="232" customFormat="false" ht="11.25" hidden="false" customHeight="true" outlineLevel="0" collapsed="false">
      <c r="A232" s="89"/>
      <c r="B232" s="89"/>
      <c r="C232" s="89"/>
      <c r="D232" s="150"/>
      <c r="E232" s="89"/>
      <c r="F232" s="151"/>
      <c r="G232" s="151"/>
      <c r="H232" s="151"/>
      <c r="I232" s="151"/>
      <c r="J232" s="152"/>
      <c r="K232" s="152"/>
      <c r="L232" s="152"/>
      <c r="M232" s="152"/>
      <c r="N232" s="150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</row>
    <row r="233" customFormat="false" ht="11.25" hidden="false" customHeight="true" outlineLevel="0" collapsed="false">
      <c r="A233" s="89"/>
      <c r="B233" s="89"/>
      <c r="C233" s="89"/>
      <c r="D233" s="150"/>
      <c r="E233" s="89"/>
      <c r="F233" s="151"/>
      <c r="G233" s="151"/>
      <c r="H233" s="151"/>
      <c r="I233" s="151"/>
      <c r="J233" s="152"/>
      <c r="K233" s="152"/>
      <c r="L233" s="152"/>
      <c r="M233" s="152"/>
      <c r="N233" s="150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</row>
    <row r="234" customFormat="false" ht="11.25" hidden="false" customHeight="true" outlineLevel="0" collapsed="false">
      <c r="A234" s="89"/>
      <c r="B234" s="89"/>
      <c r="C234" s="89"/>
      <c r="D234" s="150"/>
      <c r="E234" s="89"/>
      <c r="F234" s="151"/>
      <c r="G234" s="151"/>
      <c r="H234" s="151"/>
      <c r="I234" s="151"/>
      <c r="J234" s="152"/>
      <c r="K234" s="152"/>
      <c r="L234" s="152"/>
      <c r="M234" s="152"/>
      <c r="N234" s="150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</row>
    <row r="235" customFormat="false" ht="11.25" hidden="false" customHeight="true" outlineLevel="0" collapsed="false">
      <c r="A235" s="89"/>
      <c r="B235" s="89"/>
      <c r="C235" s="89"/>
      <c r="D235" s="150"/>
      <c r="E235" s="89"/>
      <c r="F235" s="151"/>
      <c r="G235" s="151"/>
      <c r="H235" s="151"/>
      <c r="I235" s="151"/>
      <c r="J235" s="152"/>
      <c r="K235" s="152"/>
      <c r="L235" s="152"/>
      <c r="M235" s="152"/>
      <c r="N235" s="150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</row>
    <row r="236" customFormat="false" ht="11.25" hidden="false" customHeight="true" outlineLevel="0" collapsed="false">
      <c r="A236" s="89"/>
      <c r="B236" s="89"/>
      <c r="C236" s="89"/>
      <c r="D236" s="150"/>
      <c r="E236" s="89"/>
      <c r="F236" s="151"/>
      <c r="G236" s="151"/>
      <c r="H236" s="151"/>
      <c r="I236" s="151"/>
      <c r="J236" s="152"/>
      <c r="K236" s="152"/>
      <c r="L236" s="152"/>
      <c r="M236" s="152"/>
      <c r="N236" s="150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</row>
    <row r="237" customFormat="false" ht="11.25" hidden="false" customHeight="true" outlineLevel="0" collapsed="false">
      <c r="A237" s="89"/>
      <c r="B237" s="89"/>
      <c r="C237" s="89"/>
      <c r="D237" s="150"/>
      <c r="E237" s="89"/>
      <c r="F237" s="151"/>
      <c r="G237" s="151"/>
      <c r="H237" s="151"/>
      <c r="I237" s="151"/>
      <c r="J237" s="152"/>
      <c r="K237" s="152"/>
      <c r="L237" s="152"/>
      <c r="M237" s="152"/>
      <c r="N237" s="150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</row>
    <row r="238" customFormat="false" ht="11.25" hidden="false" customHeight="true" outlineLevel="0" collapsed="false">
      <c r="A238" s="89"/>
      <c r="B238" s="89"/>
      <c r="C238" s="89"/>
      <c r="D238" s="150"/>
      <c r="E238" s="89"/>
      <c r="F238" s="151"/>
      <c r="G238" s="151"/>
      <c r="H238" s="151"/>
      <c r="I238" s="151"/>
      <c r="J238" s="152"/>
      <c r="K238" s="152"/>
      <c r="L238" s="152"/>
      <c r="M238" s="152"/>
      <c r="N238" s="150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</row>
    <row r="239" customFormat="false" ht="11.25" hidden="false" customHeight="true" outlineLevel="0" collapsed="false">
      <c r="A239" s="89"/>
      <c r="B239" s="89"/>
      <c r="C239" s="89"/>
      <c r="D239" s="150"/>
      <c r="E239" s="89"/>
      <c r="F239" s="151"/>
      <c r="G239" s="151"/>
      <c r="H239" s="151"/>
      <c r="I239" s="151"/>
      <c r="J239" s="152"/>
      <c r="K239" s="152"/>
      <c r="L239" s="152"/>
      <c r="M239" s="152"/>
      <c r="N239" s="150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</row>
    <row r="240" customFormat="false" ht="11.25" hidden="false" customHeight="true" outlineLevel="0" collapsed="false">
      <c r="A240" s="89"/>
      <c r="B240" s="89"/>
      <c r="C240" s="89"/>
      <c r="D240" s="150"/>
      <c r="E240" s="89"/>
      <c r="F240" s="151"/>
      <c r="G240" s="151"/>
      <c r="H240" s="151"/>
      <c r="I240" s="151"/>
      <c r="J240" s="152"/>
      <c r="K240" s="152"/>
      <c r="L240" s="152"/>
      <c r="M240" s="152"/>
      <c r="N240" s="150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</row>
    <row r="241" customFormat="false" ht="11.25" hidden="false" customHeight="true" outlineLevel="0" collapsed="false">
      <c r="A241" s="89"/>
      <c r="B241" s="89"/>
      <c r="C241" s="89"/>
      <c r="D241" s="150"/>
      <c r="E241" s="89"/>
      <c r="F241" s="151"/>
      <c r="G241" s="151"/>
      <c r="H241" s="151"/>
      <c r="I241" s="151"/>
      <c r="J241" s="152"/>
      <c r="K241" s="152"/>
      <c r="L241" s="152"/>
      <c r="M241" s="152"/>
      <c r="N241" s="150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</row>
    <row r="242" customFormat="false" ht="11.25" hidden="false" customHeight="true" outlineLevel="0" collapsed="false">
      <c r="A242" s="89"/>
      <c r="B242" s="89"/>
      <c r="C242" s="89"/>
      <c r="D242" s="150"/>
      <c r="E242" s="89"/>
      <c r="F242" s="151"/>
      <c r="G242" s="151"/>
      <c r="H242" s="151"/>
      <c r="I242" s="151"/>
      <c r="J242" s="152"/>
      <c r="K242" s="152"/>
      <c r="L242" s="152"/>
      <c r="M242" s="152"/>
      <c r="N242" s="150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</row>
    <row r="243" customFormat="false" ht="11.25" hidden="false" customHeight="true" outlineLevel="0" collapsed="false">
      <c r="A243" s="89"/>
      <c r="B243" s="89"/>
      <c r="C243" s="89"/>
      <c r="D243" s="150"/>
      <c r="E243" s="89"/>
      <c r="F243" s="151"/>
      <c r="G243" s="151"/>
      <c r="H243" s="151"/>
      <c r="I243" s="151"/>
      <c r="J243" s="152"/>
      <c r="K243" s="152"/>
      <c r="L243" s="152"/>
      <c r="M243" s="152"/>
      <c r="N243" s="150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</row>
    <row r="244" customFormat="false" ht="11.25" hidden="false" customHeight="true" outlineLevel="0" collapsed="false">
      <c r="A244" s="89"/>
      <c r="B244" s="89"/>
      <c r="C244" s="89"/>
      <c r="D244" s="150"/>
      <c r="E244" s="89"/>
      <c r="F244" s="151"/>
      <c r="G244" s="151"/>
      <c r="H244" s="151"/>
      <c r="I244" s="151"/>
      <c r="J244" s="152"/>
      <c r="K244" s="152"/>
      <c r="L244" s="152"/>
      <c r="M244" s="152"/>
      <c r="N244" s="150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</row>
    <row r="245" customFormat="false" ht="11.25" hidden="false" customHeight="true" outlineLevel="0" collapsed="false">
      <c r="A245" s="89"/>
      <c r="B245" s="89"/>
      <c r="C245" s="89"/>
      <c r="D245" s="150"/>
      <c r="E245" s="89"/>
      <c r="F245" s="151"/>
      <c r="G245" s="151"/>
      <c r="H245" s="151"/>
      <c r="I245" s="151"/>
      <c r="J245" s="152"/>
      <c r="K245" s="152"/>
      <c r="L245" s="152"/>
      <c r="M245" s="152"/>
      <c r="N245" s="150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</row>
    <row r="246" customFormat="false" ht="11.25" hidden="false" customHeight="true" outlineLevel="0" collapsed="false">
      <c r="A246" s="89"/>
      <c r="B246" s="89"/>
      <c r="C246" s="89"/>
      <c r="D246" s="150"/>
      <c r="E246" s="89"/>
      <c r="F246" s="151"/>
      <c r="G246" s="151"/>
      <c r="H246" s="151"/>
      <c r="I246" s="151"/>
      <c r="J246" s="152"/>
      <c r="K246" s="152"/>
      <c r="L246" s="152"/>
      <c r="M246" s="152"/>
      <c r="N246" s="150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</row>
    <row r="247" customFormat="false" ht="11.25" hidden="false" customHeight="true" outlineLevel="0" collapsed="false">
      <c r="A247" s="89"/>
      <c r="B247" s="89"/>
      <c r="C247" s="89"/>
      <c r="D247" s="150"/>
      <c r="E247" s="89"/>
      <c r="F247" s="151"/>
      <c r="G247" s="151"/>
      <c r="H247" s="151"/>
      <c r="I247" s="151"/>
      <c r="J247" s="152"/>
      <c r="K247" s="152"/>
      <c r="L247" s="152"/>
      <c r="M247" s="152"/>
      <c r="N247" s="150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</row>
    <row r="248" customFormat="false" ht="11.25" hidden="false" customHeight="true" outlineLevel="0" collapsed="false">
      <c r="A248" s="89"/>
      <c r="B248" s="89"/>
      <c r="C248" s="89"/>
      <c r="D248" s="150"/>
      <c r="E248" s="89"/>
      <c r="F248" s="151"/>
      <c r="G248" s="151"/>
      <c r="H248" s="151"/>
      <c r="I248" s="151"/>
      <c r="J248" s="152"/>
      <c r="K248" s="152"/>
      <c r="L248" s="152"/>
      <c r="M248" s="152"/>
      <c r="N248" s="150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</row>
    <row r="249" customFormat="false" ht="11.25" hidden="false" customHeight="true" outlineLevel="0" collapsed="false">
      <c r="A249" s="89"/>
      <c r="B249" s="89"/>
      <c r="C249" s="89"/>
      <c r="D249" s="150"/>
      <c r="E249" s="89"/>
      <c r="F249" s="151"/>
      <c r="G249" s="151"/>
      <c r="H249" s="151"/>
      <c r="I249" s="151"/>
      <c r="J249" s="152"/>
      <c r="K249" s="152"/>
      <c r="L249" s="152"/>
      <c r="M249" s="152"/>
      <c r="N249" s="150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</row>
    <row r="250" customFormat="false" ht="11.25" hidden="false" customHeight="true" outlineLevel="0" collapsed="false">
      <c r="A250" s="89"/>
      <c r="B250" s="89"/>
      <c r="C250" s="89"/>
      <c r="D250" s="150"/>
      <c r="E250" s="89"/>
      <c r="F250" s="151"/>
      <c r="G250" s="151"/>
      <c r="H250" s="151"/>
      <c r="I250" s="151"/>
      <c r="J250" s="152"/>
      <c r="K250" s="152"/>
      <c r="L250" s="152"/>
      <c r="M250" s="152"/>
      <c r="N250" s="150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</row>
    <row r="251" customFormat="false" ht="11.25" hidden="false" customHeight="true" outlineLevel="0" collapsed="false">
      <c r="A251" s="89"/>
      <c r="B251" s="89"/>
      <c r="C251" s="89"/>
      <c r="D251" s="150"/>
      <c r="E251" s="89"/>
      <c r="F251" s="151"/>
      <c r="G251" s="151"/>
      <c r="H251" s="151"/>
      <c r="I251" s="151"/>
      <c r="J251" s="152"/>
      <c r="K251" s="152"/>
      <c r="L251" s="152"/>
      <c r="M251" s="152"/>
      <c r="N251" s="150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</row>
    <row r="252" customFormat="false" ht="11.25" hidden="false" customHeight="true" outlineLevel="0" collapsed="false">
      <c r="A252" s="89"/>
      <c r="B252" s="89"/>
      <c r="C252" s="89"/>
      <c r="D252" s="150"/>
      <c r="E252" s="89"/>
      <c r="F252" s="151"/>
      <c r="G252" s="151"/>
      <c r="H252" s="151"/>
      <c r="I252" s="151"/>
      <c r="J252" s="152"/>
      <c r="K252" s="152"/>
      <c r="L252" s="152"/>
      <c r="M252" s="152"/>
      <c r="N252" s="150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</row>
    <row r="253" customFormat="false" ht="11.25" hidden="false" customHeight="true" outlineLevel="0" collapsed="false">
      <c r="A253" s="89"/>
      <c r="B253" s="89"/>
      <c r="C253" s="89"/>
      <c r="D253" s="150"/>
      <c r="E253" s="89"/>
      <c r="F253" s="151"/>
      <c r="G253" s="151"/>
      <c r="H253" s="151"/>
      <c r="I253" s="151"/>
      <c r="J253" s="152"/>
      <c r="K253" s="152"/>
      <c r="L253" s="152"/>
      <c r="M253" s="152"/>
      <c r="N253" s="150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</row>
    <row r="254" customFormat="false" ht="11.25" hidden="false" customHeight="true" outlineLevel="0" collapsed="false">
      <c r="A254" s="89"/>
      <c r="B254" s="89"/>
      <c r="C254" s="89"/>
      <c r="D254" s="150"/>
      <c r="E254" s="89"/>
      <c r="F254" s="151"/>
      <c r="G254" s="151"/>
      <c r="H254" s="151"/>
      <c r="I254" s="151"/>
      <c r="J254" s="152"/>
      <c r="K254" s="152"/>
      <c r="L254" s="152"/>
      <c r="M254" s="152"/>
      <c r="N254" s="150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</row>
    <row r="255" customFormat="false" ht="11.25" hidden="false" customHeight="true" outlineLevel="0" collapsed="false">
      <c r="A255" s="89"/>
      <c r="B255" s="89"/>
      <c r="C255" s="89"/>
      <c r="D255" s="150"/>
      <c r="E255" s="89"/>
      <c r="F255" s="151"/>
      <c r="G255" s="151"/>
      <c r="H255" s="151"/>
      <c r="I255" s="151"/>
      <c r="J255" s="152"/>
      <c r="K255" s="152"/>
      <c r="L255" s="152"/>
      <c r="M255" s="152"/>
      <c r="N255" s="150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</row>
    <row r="256" customFormat="false" ht="11.25" hidden="false" customHeight="true" outlineLevel="0" collapsed="false">
      <c r="A256" s="89"/>
      <c r="B256" s="89"/>
      <c r="C256" s="89"/>
      <c r="D256" s="150"/>
      <c r="E256" s="89"/>
      <c r="F256" s="151"/>
      <c r="G256" s="151"/>
      <c r="H256" s="151"/>
      <c r="I256" s="151"/>
      <c r="J256" s="152"/>
      <c r="K256" s="152"/>
      <c r="L256" s="152"/>
      <c r="M256" s="152"/>
      <c r="N256" s="150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</row>
    <row r="257" customFormat="false" ht="11.25" hidden="false" customHeight="true" outlineLevel="0" collapsed="false">
      <c r="A257" s="89"/>
      <c r="B257" s="89"/>
      <c r="C257" s="89"/>
      <c r="D257" s="150"/>
      <c r="E257" s="89"/>
      <c r="F257" s="151"/>
      <c r="G257" s="151"/>
      <c r="H257" s="151"/>
      <c r="I257" s="151"/>
      <c r="J257" s="152"/>
      <c r="K257" s="152"/>
      <c r="L257" s="152"/>
      <c r="M257" s="152"/>
      <c r="N257" s="150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</row>
    <row r="258" customFormat="false" ht="11.25" hidden="false" customHeight="true" outlineLevel="0" collapsed="false">
      <c r="A258" s="89"/>
      <c r="B258" s="89"/>
      <c r="C258" s="89"/>
      <c r="D258" s="150"/>
      <c r="E258" s="89"/>
      <c r="F258" s="151"/>
      <c r="G258" s="151"/>
      <c r="H258" s="151"/>
      <c r="I258" s="151"/>
      <c r="J258" s="152"/>
      <c r="K258" s="152"/>
      <c r="L258" s="152"/>
      <c r="M258" s="152"/>
      <c r="N258" s="150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</row>
    <row r="259" customFormat="false" ht="11.25" hidden="false" customHeight="true" outlineLevel="0" collapsed="false">
      <c r="A259" s="89"/>
      <c r="B259" s="89"/>
      <c r="C259" s="89"/>
      <c r="D259" s="150"/>
      <c r="E259" s="89"/>
      <c r="F259" s="151"/>
      <c r="G259" s="151"/>
      <c r="H259" s="151"/>
      <c r="I259" s="151"/>
      <c r="J259" s="152"/>
      <c r="K259" s="152"/>
      <c r="L259" s="152"/>
      <c r="M259" s="152"/>
      <c r="N259" s="150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</row>
    <row r="260" customFormat="false" ht="11.25" hidden="false" customHeight="true" outlineLevel="0" collapsed="false">
      <c r="A260" s="89"/>
      <c r="B260" s="89"/>
      <c r="C260" s="89"/>
      <c r="D260" s="150"/>
      <c r="E260" s="89"/>
      <c r="F260" s="151"/>
      <c r="G260" s="151"/>
      <c r="H260" s="151"/>
      <c r="I260" s="151"/>
      <c r="J260" s="152"/>
      <c r="K260" s="152"/>
      <c r="L260" s="152"/>
      <c r="M260" s="152"/>
      <c r="N260" s="150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</row>
    <row r="261" customFormat="false" ht="11.25" hidden="false" customHeight="true" outlineLevel="0" collapsed="false">
      <c r="A261" s="89"/>
      <c r="B261" s="89"/>
      <c r="C261" s="89"/>
      <c r="D261" s="150"/>
      <c r="E261" s="89"/>
      <c r="F261" s="151"/>
      <c r="G261" s="151"/>
      <c r="H261" s="151"/>
      <c r="I261" s="151"/>
      <c r="J261" s="152"/>
      <c r="K261" s="152"/>
      <c r="L261" s="152"/>
      <c r="M261" s="152"/>
      <c r="N261" s="150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</row>
    <row r="262" customFormat="false" ht="11.25" hidden="false" customHeight="true" outlineLevel="0" collapsed="false">
      <c r="A262" s="89"/>
      <c r="B262" s="89"/>
      <c r="C262" s="89"/>
      <c r="D262" s="150"/>
      <c r="E262" s="89"/>
      <c r="F262" s="151"/>
      <c r="G262" s="151"/>
      <c r="H262" s="151"/>
      <c r="I262" s="151"/>
      <c r="J262" s="152"/>
      <c r="K262" s="152"/>
      <c r="L262" s="152"/>
      <c r="M262" s="152"/>
      <c r="N262" s="150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</row>
    <row r="263" customFormat="false" ht="11.25" hidden="false" customHeight="true" outlineLevel="0" collapsed="false">
      <c r="A263" s="89"/>
      <c r="B263" s="89"/>
      <c r="C263" s="89"/>
      <c r="D263" s="150"/>
      <c r="E263" s="89"/>
      <c r="F263" s="151"/>
      <c r="G263" s="151"/>
      <c r="H263" s="151"/>
      <c r="I263" s="151"/>
      <c r="J263" s="152"/>
      <c r="K263" s="152"/>
      <c r="L263" s="152"/>
      <c r="M263" s="152"/>
      <c r="N263" s="150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</row>
    <row r="264" customFormat="false" ht="11.25" hidden="false" customHeight="true" outlineLevel="0" collapsed="false">
      <c r="A264" s="89"/>
      <c r="B264" s="89"/>
      <c r="C264" s="89"/>
      <c r="D264" s="150"/>
      <c r="E264" s="89"/>
      <c r="F264" s="151"/>
      <c r="G264" s="151"/>
      <c r="H264" s="151"/>
      <c r="I264" s="151"/>
      <c r="J264" s="152"/>
      <c r="K264" s="152"/>
      <c r="L264" s="152"/>
      <c r="M264" s="152"/>
      <c r="N264" s="150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</row>
    <row r="265" customFormat="false" ht="11.25" hidden="false" customHeight="true" outlineLevel="0" collapsed="false">
      <c r="A265" s="89"/>
      <c r="B265" s="89"/>
      <c r="C265" s="89"/>
      <c r="D265" s="150"/>
      <c r="E265" s="89"/>
      <c r="F265" s="151"/>
      <c r="G265" s="151"/>
      <c r="H265" s="151"/>
      <c r="I265" s="151"/>
      <c r="J265" s="152"/>
      <c r="K265" s="152"/>
      <c r="L265" s="152"/>
      <c r="M265" s="152"/>
      <c r="N265" s="150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</row>
    <row r="266" customFormat="false" ht="11.25" hidden="false" customHeight="true" outlineLevel="0" collapsed="false">
      <c r="A266" s="89"/>
      <c r="B266" s="89"/>
      <c r="C266" s="89"/>
      <c r="D266" s="150"/>
      <c r="E266" s="89"/>
      <c r="F266" s="151"/>
      <c r="G266" s="151"/>
      <c r="H266" s="151"/>
      <c r="I266" s="151"/>
      <c r="J266" s="152"/>
      <c r="K266" s="152"/>
      <c r="L266" s="152"/>
      <c r="M266" s="152"/>
      <c r="N266" s="150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</row>
    <row r="267" customFormat="false" ht="11.25" hidden="false" customHeight="true" outlineLevel="0" collapsed="false">
      <c r="A267" s="89"/>
      <c r="B267" s="89"/>
      <c r="C267" s="89"/>
      <c r="D267" s="150"/>
      <c r="E267" s="89"/>
      <c r="F267" s="151"/>
      <c r="G267" s="151"/>
      <c r="H267" s="151"/>
      <c r="I267" s="151"/>
      <c r="J267" s="152"/>
      <c r="K267" s="152"/>
      <c r="L267" s="152"/>
      <c r="M267" s="152"/>
      <c r="N267" s="150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</row>
    <row r="268" customFormat="false" ht="11.25" hidden="false" customHeight="true" outlineLevel="0" collapsed="false">
      <c r="A268" s="89"/>
      <c r="B268" s="89"/>
      <c r="C268" s="89"/>
      <c r="D268" s="150"/>
      <c r="E268" s="89"/>
      <c r="F268" s="151"/>
      <c r="G268" s="151"/>
      <c r="H268" s="151"/>
      <c r="I268" s="151"/>
      <c r="J268" s="152"/>
      <c r="K268" s="152"/>
      <c r="L268" s="152"/>
      <c r="M268" s="152"/>
      <c r="N268" s="150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</row>
    <row r="269" customFormat="false" ht="11.25" hidden="false" customHeight="true" outlineLevel="0" collapsed="false">
      <c r="A269" s="89"/>
      <c r="B269" s="89"/>
      <c r="C269" s="89"/>
      <c r="D269" s="150"/>
      <c r="E269" s="89"/>
      <c r="F269" s="151"/>
      <c r="G269" s="151"/>
      <c r="H269" s="151"/>
      <c r="I269" s="151"/>
      <c r="J269" s="152"/>
      <c r="K269" s="152"/>
      <c r="L269" s="152"/>
      <c r="M269" s="152"/>
      <c r="N269" s="150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</row>
    <row r="270" customFormat="false" ht="11.25" hidden="false" customHeight="true" outlineLevel="0" collapsed="false">
      <c r="A270" s="89"/>
      <c r="B270" s="89"/>
      <c r="C270" s="89"/>
      <c r="D270" s="150"/>
      <c r="E270" s="89"/>
      <c r="F270" s="151"/>
      <c r="G270" s="151"/>
      <c r="H270" s="151"/>
      <c r="I270" s="151"/>
      <c r="J270" s="152"/>
      <c r="K270" s="152"/>
      <c r="L270" s="152"/>
      <c r="M270" s="152"/>
      <c r="N270" s="150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</row>
    <row r="271" customFormat="false" ht="11.25" hidden="false" customHeight="true" outlineLevel="0" collapsed="false">
      <c r="A271" s="89"/>
      <c r="B271" s="89"/>
      <c r="C271" s="89"/>
      <c r="D271" s="150"/>
      <c r="E271" s="89"/>
      <c r="F271" s="151"/>
      <c r="G271" s="151"/>
      <c r="H271" s="151"/>
      <c r="I271" s="151"/>
      <c r="J271" s="152"/>
      <c r="K271" s="152"/>
      <c r="L271" s="152"/>
      <c r="M271" s="152"/>
      <c r="N271" s="150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</row>
    <row r="272" customFormat="false" ht="11.25" hidden="false" customHeight="true" outlineLevel="0" collapsed="false">
      <c r="A272" s="89"/>
      <c r="B272" s="89"/>
      <c r="C272" s="89"/>
      <c r="D272" s="150"/>
      <c r="E272" s="89"/>
      <c r="F272" s="151"/>
      <c r="G272" s="151"/>
      <c r="H272" s="151"/>
      <c r="I272" s="151"/>
      <c r="J272" s="152"/>
      <c r="K272" s="152"/>
      <c r="L272" s="152"/>
      <c r="M272" s="152"/>
      <c r="N272" s="150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</row>
    <row r="273" customFormat="false" ht="11.25" hidden="false" customHeight="true" outlineLevel="0" collapsed="false">
      <c r="A273" s="89"/>
      <c r="B273" s="89"/>
      <c r="C273" s="89"/>
      <c r="D273" s="150"/>
      <c r="E273" s="89"/>
      <c r="F273" s="151"/>
      <c r="G273" s="151"/>
      <c r="H273" s="151"/>
      <c r="I273" s="151"/>
      <c r="J273" s="152"/>
      <c r="K273" s="152"/>
      <c r="L273" s="152"/>
      <c r="M273" s="152"/>
      <c r="N273" s="150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</row>
    <row r="274" customFormat="false" ht="11.25" hidden="false" customHeight="true" outlineLevel="0" collapsed="false">
      <c r="A274" s="89"/>
      <c r="B274" s="89"/>
      <c r="C274" s="89"/>
      <c r="D274" s="150"/>
      <c r="E274" s="89"/>
      <c r="F274" s="151"/>
      <c r="G274" s="151"/>
      <c r="H274" s="151"/>
      <c r="I274" s="151"/>
      <c r="J274" s="152"/>
      <c r="K274" s="152"/>
      <c r="L274" s="152"/>
      <c r="M274" s="152"/>
      <c r="N274" s="150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</row>
    <row r="275" customFormat="false" ht="11.25" hidden="false" customHeight="true" outlineLevel="0" collapsed="false">
      <c r="A275" s="89"/>
      <c r="B275" s="89"/>
      <c r="C275" s="89"/>
      <c r="D275" s="150"/>
      <c r="E275" s="89"/>
      <c r="F275" s="151"/>
      <c r="G275" s="151"/>
      <c r="H275" s="151"/>
      <c r="I275" s="151"/>
      <c r="J275" s="152"/>
      <c r="K275" s="152"/>
      <c r="L275" s="152"/>
      <c r="M275" s="152"/>
      <c r="N275" s="150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</row>
    <row r="276" customFormat="false" ht="11.25" hidden="false" customHeight="true" outlineLevel="0" collapsed="false">
      <c r="A276" s="89"/>
      <c r="B276" s="89"/>
      <c r="C276" s="89"/>
      <c r="D276" s="150"/>
      <c r="E276" s="89"/>
      <c r="F276" s="151"/>
      <c r="G276" s="151"/>
      <c r="H276" s="151"/>
      <c r="I276" s="151"/>
      <c r="J276" s="152"/>
      <c r="K276" s="152"/>
      <c r="L276" s="152"/>
      <c r="M276" s="152"/>
      <c r="N276" s="150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</row>
    <row r="277" customFormat="false" ht="11.25" hidden="false" customHeight="true" outlineLevel="0" collapsed="false">
      <c r="A277" s="89"/>
      <c r="B277" s="89"/>
      <c r="C277" s="89"/>
      <c r="D277" s="150"/>
      <c r="E277" s="89"/>
      <c r="F277" s="151"/>
      <c r="G277" s="151"/>
      <c r="H277" s="151"/>
      <c r="I277" s="151"/>
      <c r="J277" s="152"/>
      <c r="K277" s="152"/>
      <c r="L277" s="152"/>
      <c r="M277" s="152"/>
      <c r="N277" s="150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</row>
    <row r="278" customFormat="false" ht="11.25" hidden="false" customHeight="true" outlineLevel="0" collapsed="false">
      <c r="A278" s="89"/>
      <c r="B278" s="89"/>
      <c r="C278" s="89"/>
      <c r="D278" s="150"/>
      <c r="E278" s="89"/>
      <c r="F278" s="151"/>
      <c r="G278" s="151"/>
      <c r="H278" s="151"/>
      <c r="I278" s="151"/>
      <c r="J278" s="152"/>
      <c r="K278" s="152"/>
      <c r="L278" s="152"/>
      <c r="M278" s="152"/>
      <c r="N278" s="150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</row>
    <row r="279" customFormat="false" ht="11.25" hidden="false" customHeight="true" outlineLevel="0" collapsed="false">
      <c r="A279" s="89"/>
      <c r="B279" s="89"/>
      <c r="C279" s="89"/>
      <c r="D279" s="150"/>
      <c r="E279" s="89"/>
      <c r="F279" s="151"/>
      <c r="G279" s="151"/>
      <c r="H279" s="151"/>
      <c r="I279" s="151"/>
      <c r="J279" s="152"/>
      <c r="K279" s="152"/>
      <c r="L279" s="152"/>
      <c r="M279" s="152"/>
      <c r="N279" s="150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</row>
    <row r="280" customFormat="false" ht="11.25" hidden="false" customHeight="true" outlineLevel="0" collapsed="false">
      <c r="A280" s="89"/>
      <c r="B280" s="89"/>
      <c r="C280" s="89"/>
      <c r="D280" s="150"/>
      <c r="E280" s="89"/>
      <c r="F280" s="151"/>
      <c r="G280" s="151"/>
      <c r="H280" s="151"/>
      <c r="I280" s="151"/>
      <c r="J280" s="152"/>
      <c r="K280" s="152"/>
      <c r="L280" s="152"/>
      <c r="M280" s="152"/>
      <c r="N280" s="150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</row>
    <row r="281" customFormat="false" ht="11.25" hidden="false" customHeight="true" outlineLevel="0" collapsed="false">
      <c r="A281" s="89"/>
      <c r="B281" s="89"/>
      <c r="C281" s="89"/>
      <c r="D281" s="150"/>
      <c r="E281" s="89"/>
      <c r="F281" s="151"/>
      <c r="G281" s="151"/>
      <c r="H281" s="151"/>
      <c r="I281" s="151"/>
      <c r="J281" s="152"/>
      <c r="K281" s="152"/>
      <c r="L281" s="152"/>
      <c r="M281" s="152"/>
      <c r="N281" s="150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</row>
    <row r="282" customFormat="false" ht="11.25" hidden="false" customHeight="true" outlineLevel="0" collapsed="false">
      <c r="A282" s="89"/>
      <c r="B282" s="89"/>
      <c r="C282" s="89"/>
      <c r="D282" s="150"/>
      <c r="E282" s="89"/>
      <c r="F282" s="151"/>
      <c r="G282" s="151"/>
      <c r="H282" s="151"/>
      <c r="I282" s="151"/>
      <c r="J282" s="152"/>
      <c r="K282" s="152"/>
      <c r="L282" s="152"/>
      <c r="M282" s="152"/>
      <c r="N282" s="150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</row>
    <row r="283" customFormat="false" ht="11.25" hidden="false" customHeight="true" outlineLevel="0" collapsed="false">
      <c r="A283" s="89"/>
      <c r="B283" s="89"/>
      <c r="C283" s="89"/>
      <c r="D283" s="150"/>
      <c r="E283" s="89"/>
      <c r="F283" s="151"/>
      <c r="G283" s="151"/>
      <c r="H283" s="151"/>
      <c r="I283" s="151"/>
      <c r="J283" s="152"/>
      <c r="K283" s="152"/>
      <c r="L283" s="152"/>
      <c r="M283" s="152"/>
      <c r="N283" s="150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</row>
    <row r="284" customFormat="false" ht="11.25" hidden="false" customHeight="true" outlineLevel="0" collapsed="false">
      <c r="A284" s="89"/>
      <c r="B284" s="89"/>
      <c r="C284" s="89"/>
      <c r="D284" s="150"/>
      <c r="E284" s="89"/>
      <c r="F284" s="151"/>
      <c r="G284" s="151"/>
      <c r="H284" s="151"/>
      <c r="I284" s="151"/>
      <c r="J284" s="152"/>
      <c r="K284" s="152"/>
      <c r="L284" s="152"/>
      <c r="M284" s="152"/>
      <c r="N284" s="150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</row>
    <row r="285" customFormat="false" ht="11.25" hidden="false" customHeight="true" outlineLevel="0" collapsed="false">
      <c r="A285" s="89"/>
      <c r="B285" s="89"/>
      <c r="C285" s="89"/>
      <c r="D285" s="150"/>
      <c r="E285" s="89"/>
      <c r="F285" s="151"/>
      <c r="G285" s="151"/>
      <c r="H285" s="151"/>
      <c r="I285" s="151"/>
      <c r="J285" s="152"/>
      <c r="K285" s="152"/>
      <c r="L285" s="152"/>
      <c r="M285" s="152"/>
      <c r="N285" s="150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</row>
    <row r="286" customFormat="false" ht="11.25" hidden="false" customHeight="true" outlineLevel="0" collapsed="false">
      <c r="A286" s="89"/>
      <c r="B286" s="89"/>
      <c r="C286" s="89"/>
      <c r="D286" s="150"/>
      <c r="E286" s="89"/>
      <c r="F286" s="151"/>
      <c r="G286" s="151"/>
      <c r="H286" s="151"/>
      <c r="I286" s="151"/>
      <c r="J286" s="152"/>
      <c r="K286" s="152"/>
      <c r="L286" s="152"/>
      <c r="M286" s="152"/>
      <c r="N286" s="150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</row>
    <row r="287" customFormat="false" ht="11.25" hidden="false" customHeight="true" outlineLevel="0" collapsed="false">
      <c r="A287" s="89"/>
      <c r="B287" s="89"/>
      <c r="C287" s="89"/>
      <c r="D287" s="150"/>
      <c r="E287" s="89"/>
      <c r="F287" s="151"/>
      <c r="G287" s="151"/>
      <c r="H287" s="151"/>
      <c r="I287" s="151"/>
      <c r="J287" s="152"/>
      <c r="K287" s="152"/>
      <c r="L287" s="152"/>
      <c r="M287" s="152"/>
      <c r="N287" s="150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</row>
    <row r="288" customFormat="false" ht="11.25" hidden="false" customHeight="true" outlineLevel="0" collapsed="false">
      <c r="A288" s="89"/>
      <c r="B288" s="89"/>
      <c r="C288" s="89"/>
      <c r="D288" s="150"/>
      <c r="E288" s="89"/>
      <c r="F288" s="151"/>
      <c r="G288" s="151"/>
      <c r="H288" s="151"/>
      <c r="I288" s="151"/>
      <c r="J288" s="152"/>
      <c r="K288" s="152"/>
      <c r="L288" s="152"/>
      <c r="M288" s="152"/>
      <c r="N288" s="150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</row>
    <row r="289" customFormat="false" ht="11.25" hidden="false" customHeight="true" outlineLevel="0" collapsed="false">
      <c r="A289" s="89"/>
      <c r="B289" s="89"/>
      <c r="C289" s="89"/>
      <c r="D289" s="150"/>
      <c r="E289" s="89"/>
      <c r="F289" s="151"/>
      <c r="G289" s="151"/>
      <c r="H289" s="151"/>
      <c r="I289" s="151"/>
      <c r="J289" s="152"/>
      <c r="K289" s="152"/>
      <c r="L289" s="152"/>
      <c r="M289" s="152"/>
      <c r="N289" s="150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</row>
    <row r="290" customFormat="false" ht="11.25" hidden="false" customHeight="true" outlineLevel="0" collapsed="false">
      <c r="A290" s="89"/>
      <c r="B290" s="89"/>
      <c r="C290" s="89"/>
      <c r="D290" s="150"/>
      <c r="E290" s="89"/>
      <c r="F290" s="151"/>
      <c r="G290" s="151"/>
      <c r="H290" s="151"/>
      <c r="I290" s="151"/>
      <c r="J290" s="152"/>
      <c r="K290" s="152"/>
      <c r="L290" s="152"/>
      <c r="M290" s="152"/>
      <c r="N290" s="150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</row>
    <row r="291" customFormat="false" ht="11.25" hidden="false" customHeight="true" outlineLevel="0" collapsed="false">
      <c r="A291" s="89"/>
      <c r="B291" s="89"/>
      <c r="C291" s="89"/>
      <c r="D291" s="150"/>
      <c r="E291" s="89"/>
      <c r="F291" s="151"/>
      <c r="G291" s="151"/>
      <c r="H291" s="151"/>
      <c r="I291" s="151"/>
      <c r="J291" s="152"/>
      <c r="K291" s="152"/>
      <c r="L291" s="152"/>
      <c r="M291" s="152"/>
      <c r="N291" s="150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</row>
    <row r="292" customFormat="false" ht="11.25" hidden="false" customHeight="true" outlineLevel="0" collapsed="false">
      <c r="A292" s="89"/>
      <c r="B292" s="89"/>
      <c r="C292" s="89"/>
      <c r="D292" s="150"/>
      <c r="E292" s="89"/>
      <c r="F292" s="151"/>
      <c r="G292" s="151"/>
      <c r="H292" s="151"/>
      <c r="I292" s="151"/>
      <c r="J292" s="152"/>
      <c r="K292" s="152"/>
      <c r="L292" s="152"/>
      <c r="M292" s="152"/>
      <c r="N292" s="150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</row>
    <row r="293" customFormat="false" ht="11.25" hidden="false" customHeight="true" outlineLevel="0" collapsed="false">
      <c r="A293" s="89"/>
      <c r="B293" s="89"/>
      <c r="C293" s="89"/>
      <c r="D293" s="150"/>
      <c r="E293" s="89"/>
      <c r="F293" s="151"/>
      <c r="G293" s="151"/>
      <c r="H293" s="151"/>
      <c r="I293" s="151"/>
      <c r="J293" s="152"/>
      <c r="K293" s="152"/>
      <c r="L293" s="152"/>
      <c r="M293" s="152"/>
      <c r="N293" s="150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</row>
    <row r="294" customFormat="false" ht="11.25" hidden="false" customHeight="true" outlineLevel="0" collapsed="false">
      <c r="A294" s="89"/>
      <c r="B294" s="89"/>
      <c r="C294" s="89"/>
      <c r="D294" s="150"/>
      <c r="E294" s="89"/>
      <c r="F294" s="151"/>
      <c r="G294" s="151"/>
      <c r="H294" s="151"/>
      <c r="I294" s="151"/>
      <c r="J294" s="152"/>
      <c r="K294" s="152"/>
      <c r="L294" s="152"/>
      <c r="M294" s="152"/>
      <c r="N294" s="150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</row>
    <row r="295" customFormat="false" ht="11.25" hidden="false" customHeight="true" outlineLevel="0" collapsed="false">
      <c r="A295" s="89"/>
      <c r="B295" s="89"/>
      <c r="C295" s="89"/>
      <c r="D295" s="150"/>
      <c r="E295" s="89"/>
      <c r="F295" s="151"/>
      <c r="G295" s="151"/>
      <c r="H295" s="151"/>
      <c r="I295" s="151"/>
      <c r="J295" s="152"/>
      <c r="K295" s="152"/>
      <c r="L295" s="152"/>
      <c r="M295" s="152"/>
      <c r="N295" s="150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</row>
    <row r="296" customFormat="false" ht="11.25" hidden="false" customHeight="true" outlineLevel="0" collapsed="false">
      <c r="A296" s="89"/>
      <c r="B296" s="89"/>
      <c r="C296" s="89"/>
      <c r="D296" s="150"/>
      <c r="E296" s="89"/>
      <c r="F296" s="151"/>
      <c r="G296" s="151"/>
      <c r="H296" s="151"/>
      <c r="I296" s="151"/>
      <c r="J296" s="152"/>
      <c r="K296" s="152"/>
      <c r="L296" s="152"/>
      <c r="M296" s="152"/>
      <c r="N296" s="150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</row>
    <row r="297" customFormat="false" ht="11.25" hidden="false" customHeight="true" outlineLevel="0" collapsed="false">
      <c r="A297" s="89"/>
      <c r="B297" s="89"/>
      <c r="C297" s="89"/>
      <c r="D297" s="150"/>
      <c r="E297" s="89"/>
      <c r="F297" s="151"/>
      <c r="G297" s="151"/>
      <c r="H297" s="151"/>
      <c r="I297" s="151"/>
      <c r="J297" s="152"/>
      <c r="K297" s="152"/>
      <c r="L297" s="152"/>
      <c r="M297" s="152"/>
      <c r="N297" s="150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</row>
    <row r="298" customFormat="false" ht="11.25" hidden="false" customHeight="true" outlineLevel="0" collapsed="false">
      <c r="A298" s="89"/>
      <c r="B298" s="89"/>
      <c r="C298" s="89"/>
      <c r="D298" s="150"/>
      <c r="E298" s="89"/>
      <c r="F298" s="151"/>
      <c r="G298" s="151"/>
      <c r="H298" s="151"/>
      <c r="I298" s="151"/>
      <c r="J298" s="152"/>
      <c r="K298" s="152"/>
      <c r="L298" s="152"/>
      <c r="M298" s="152"/>
      <c r="N298" s="150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</row>
    <row r="299" customFormat="false" ht="11.25" hidden="false" customHeight="true" outlineLevel="0" collapsed="false">
      <c r="A299" s="89"/>
      <c r="B299" s="89"/>
      <c r="C299" s="89"/>
      <c r="D299" s="150"/>
      <c r="E299" s="89"/>
      <c r="F299" s="151"/>
      <c r="G299" s="151"/>
      <c r="H299" s="151"/>
      <c r="I299" s="151"/>
      <c r="J299" s="152"/>
      <c r="K299" s="152"/>
      <c r="L299" s="152"/>
      <c r="M299" s="152"/>
      <c r="N299" s="150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</row>
    <row r="300" customFormat="false" ht="11.25" hidden="false" customHeight="true" outlineLevel="0" collapsed="false">
      <c r="A300" s="89"/>
      <c r="B300" s="89"/>
      <c r="C300" s="89"/>
      <c r="D300" s="150"/>
      <c r="E300" s="89"/>
      <c r="F300" s="151"/>
      <c r="G300" s="151"/>
      <c r="H300" s="151"/>
      <c r="I300" s="151"/>
      <c r="J300" s="152"/>
      <c r="K300" s="152"/>
      <c r="L300" s="152"/>
      <c r="M300" s="152"/>
      <c r="N300" s="150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</row>
    <row r="301" customFormat="false" ht="11.25" hidden="false" customHeight="true" outlineLevel="0" collapsed="false">
      <c r="A301" s="89"/>
      <c r="B301" s="89"/>
      <c r="C301" s="89"/>
      <c r="D301" s="150"/>
      <c r="E301" s="89"/>
      <c r="F301" s="151"/>
      <c r="G301" s="151"/>
      <c r="H301" s="151"/>
      <c r="I301" s="151"/>
      <c r="J301" s="152"/>
      <c r="K301" s="152"/>
      <c r="L301" s="152"/>
      <c r="M301" s="152"/>
      <c r="N301" s="150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</row>
    <row r="302" customFormat="false" ht="11.25" hidden="false" customHeight="true" outlineLevel="0" collapsed="false">
      <c r="A302" s="89"/>
      <c r="B302" s="89"/>
      <c r="C302" s="89"/>
      <c r="D302" s="150"/>
      <c r="E302" s="89"/>
      <c r="F302" s="151"/>
      <c r="G302" s="151"/>
      <c r="H302" s="151"/>
      <c r="I302" s="151"/>
      <c r="J302" s="152"/>
      <c r="K302" s="152"/>
      <c r="L302" s="152"/>
      <c r="M302" s="152"/>
      <c r="N302" s="150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</row>
    <row r="303" customFormat="false" ht="11.25" hidden="false" customHeight="true" outlineLevel="0" collapsed="false">
      <c r="A303" s="89"/>
      <c r="B303" s="89"/>
      <c r="C303" s="89"/>
      <c r="D303" s="150"/>
      <c r="E303" s="89"/>
      <c r="F303" s="151"/>
      <c r="G303" s="151"/>
      <c r="H303" s="151"/>
      <c r="I303" s="151"/>
      <c r="J303" s="152"/>
      <c r="K303" s="152"/>
      <c r="L303" s="152"/>
      <c r="M303" s="152"/>
      <c r="N303" s="150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</row>
    <row r="304" customFormat="false" ht="11.25" hidden="false" customHeight="true" outlineLevel="0" collapsed="false">
      <c r="A304" s="89"/>
      <c r="B304" s="89"/>
      <c r="C304" s="89"/>
      <c r="D304" s="150"/>
      <c r="E304" s="89"/>
      <c r="F304" s="151"/>
      <c r="G304" s="151"/>
      <c r="H304" s="151"/>
      <c r="I304" s="151"/>
      <c r="J304" s="152"/>
      <c r="K304" s="152"/>
      <c r="L304" s="152"/>
      <c r="M304" s="152"/>
      <c r="N304" s="150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</row>
    <row r="305" customFormat="false" ht="11.25" hidden="false" customHeight="true" outlineLevel="0" collapsed="false">
      <c r="A305" s="89"/>
      <c r="B305" s="89"/>
      <c r="C305" s="89"/>
      <c r="D305" s="150"/>
      <c r="E305" s="89"/>
      <c r="F305" s="151"/>
      <c r="G305" s="151"/>
      <c r="H305" s="151"/>
      <c r="I305" s="151"/>
      <c r="J305" s="152"/>
      <c r="K305" s="152"/>
      <c r="L305" s="152"/>
      <c r="M305" s="152"/>
      <c r="N305" s="150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</row>
    <row r="306" customFormat="false" ht="11.25" hidden="false" customHeight="true" outlineLevel="0" collapsed="false">
      <c r="A306" s="89"/>
      <c r="B306" s="89"/>
      <c r="C306" s="89"/>
      <c r="D306" s="150"/>
      <c r="E306" s="89"/>
      <c r="F306" s="151"/>
      <c r="G306" s="151"/>
      <c r="H306" s="151"/>
      <c r="I306" s="151"/>
      <c r="J306" s="152"/>
      <c r="K306" s="152"/>
      <c r="L306" s="152"/>
      <c r="M306" s="152"/>
      <c r="N306" s="150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</row>
    <row r="307" customFormat="false" ht="11.25" hidden="false" customHeight="true" outlineLevel="0" collapsed="false">
      <c r="A307" s="89"/>
      <c r="B307" s="89"/>
      <c r="C307" s="89"/>
      <c r="D307" s="150"/>
      <c r="E307" s="89"/>
      <c r="F307" s="151"/>
      <c r="G307" s="151"/>
      <c r="H307" s="151"/>
      <c r="I307" s="151"/>
      <c r="J307" s="152"/>
      <c r="K307" s="152"/>
      <c r="L307" s="152"/>
      <c r="M307" s="152"/>
      <c r="N307" s="150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</row>
    <row r="308" customFormat="false" ht="11.25" hidden="false" customHeight="true" outlineLevel="0" collapsed="false">
      <c r="A308" s="89"/>
      <c r="B308" s="89"/>
      <c r="C308" s="89"/>
      <c r="D308" s="150"/>
      <c r="E308" s="89"/>
      <c r="F308" s="151"/>
      <c r="G308" s="151"/>
      <c r="H308" s="151"/>
      <c r="I308" s="151"/>
      <c r="J308" s="152"/>
      <c r="K308" s="152"/>
      <c r="L308" s="152"/>
      <c r="M308" s="152"/>
      <c r="N308" s="150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</row>
    <row r="309" customFormat="false" ht="11.25" hidden="false" customHeight="true" outlineLevel="0" collapsed="false">
      <c r="A309" s="89"/>
      <c r="B309" s="89"/>
      <c r="C309" s="89"/>
      <c r="D309" s="150"/>
      <c r="E309" s="89"/>
      <c r="F309" s="151"/>
      <c r="G309" s="151"/>
      <c r="H309" s="151"/>
      <c r="I309" s="151"/>
      <c r="J309" s="152"/>
      <c r="K309" s="152"/>
      <c r="L309" s="152"/>
      <c r="M309" s="152"/>
      <c r="N309" s="150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</row>
    <row r="310" customFormat="false" ht="11.25" hidden="false" customHeight="true" outlineLevel="0" collapsed="false">
      <c r="A310" s="89"/>
      <c r="B310" s="89"/>
      <c r="C310" s="89"/>
      <c r="D310" s="150"/>
      <c r="E310" s="89"/>
      <c r="F310" s="151"/>
      <c r="G310" s="151"/>
      <c r="H310" s="151"/>
      <c r="I310" s="151"/>
      <c r="J310" s="152"/>
      <c r="K310" s="152"/>
      <c r="L310" s="152"/>
      <c r="M310" s="152"/>
      <c r="N310" s="150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</row>
    <row r="311" customFormat="false" ht="11.25" hidden="false" customHeight="true" outlineLevel="0" collapsed="false">
      <c r="A311" s="89"/>
      <c r="B311" s="89"/>
      <c r="C311" s="89"/>
      <c r="D311" s="150"/>
      <c r="E311" s="89"/>
      <c r="F311" s="151"/>
      <c r="G311" s="151"/>
      <c r="H311" s="151"/>
      <c r="I311" s="151"/>
      <c r="J311" s="152"/>
      <c r="K311" s="152"/>
      <c r="L311" s="152"/>
      <c r="M311" s="152"/>
      <c r="N311" s="150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</row>
    <row r="312" customFormat="false" ht="11.25" hidden="false" customHeight="true" outlineLevel="0" collapsed="false">
      <c r="A312" s="89"/>
      <c r="B312" s="89"/>
      <c r="C312" s="89"/>
      <c r="D312" s="150"/>
      <c r="E312" s="89"/>
      <c r="F312" s="151"/>
      <c r="G312" s="151"/>
      <c r="H312" s="151"/>
      <c r="I312" s="151"/>
      <c r="J312" s="152"/>
      <c r="K312" s="152"/>
      <c r="L312" s="152"/>
      <c r="M312" s="152"/>
      <c r="N312" s="150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</row>
    <row r="313" customFormat="false" ht="11.25" hidden="false" customHeight="true" outlineLevel="0" collapsed="false">
      <c r="A313" s="89"/>
      <c r="B313" s="89"/>
      <c r="C313" s="89"/>
      <c r="D313" s="150"/>
      <c r="E313" s="89"/>
      <c r="F313" s="151"/>
      <c r="G313" s="151"/>
      <c r="H313" s="151"/>
      <c r="I313" s="151"/>
      <c r="J313" s="152"/>
      <c r="K313" s="152"/>
      <c r="L313" s="152"/>
      <c r="M313" s="152"/>
      <c r="N313" s="150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</row>
    <row r="314" customFormat="false" ht="11.25" hidden="false" customHeight="true" outlineLevel="0" collapsed="false">
      <c r="A314" s="89"/>
      <c r="B314" s="89"/>
      <c r="C314" s="89"/>
      <c r="D314" s="150"/>
      <c r="E314" s="89"/>
      <c r="F314" s="151"/>
      <c r="G314" s="151"/>
      <c r="H314" s="151"/>
      <c r="I314" s="151"/>
      <c r="J314" s="152"/>
      <c r="K314" s="152"/>
      <c r="L314" s="152"/>
      <c r="M314" s="152"/>
      <c r="N314" s="150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</row>
    <row r="315" customFormat="false" ht="11.25" hidden="false" customHeight="true" outlineLevel="0" collapsed="false">
      <c r="A315" s="89"/>
      <c r="B315" s="89"/>
      <c r="C315" s="89"/>
      <c r="D315" s="150"/>
      <c r="E315" s="89"/>
      <c r="F315" s="151"/>
      <c r="G315" s="151"/>
      <c r="H315" s="151"/>
      <c r="I315" s="151"/>
      <c r="J315" s="152"/>
      <c r="K315" s="152"/>
      <c r="L315" s="152"/>
      <c r="M315" s="152"/>
      <c r="N315" s="150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</row>
    <row r="316" customFormat="false" ht="11.25" hidden="false" customHeight="true" outlineLevel="0" collapsed="false">
      <c r="A316" s="89"/>
      <c r="B316" s="89"/>
      <c r="C316" s="89"/>
      <c r="D316" s="150"/>
      <c r="E316" s="89"/>
      <c r="F316" s="151"/>
      <c r="G316" s="151"/>
      <c r="H316" s="151"/>
      <c r="I316" s="151"/>
      <c r="J316" s="152"/>
      <c r="K316" s="152"/>
      <c r="L316" s="152"/>
      <c r="M316" s="152"/>
      <c r="N316" s="150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</row>
    <row r="317" customFormat="false" ht="11.25" hidden="false" customHeight="true" outlineLevel="0" collapsed="false">
      <c r="A317" s="89"/>
      <c r="B317" s="89"/>
      <c r="C317" s="89"/>
      <c r="D317" s="150"/>
      <c r="E317" s="89"/>
      <c r="F317" s="151"/>
      <c r="G317" s="151"/>
      <c r="H317" s="151"/>
      <c r="I317" s="151"/>
      <c r="J317" s="152"/>
      <c r="K317" s="152"/>
      <c r="L317" s="152"/>
      <c r="M317" s="152"/>
      <c r="N317" s="150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</row>
    <row r="318" customFormat="false" ht="11.25" hidden="false" customHeight="true" outlineLevel="0" collapsed="false">
      <c r="A318" s="89"/>
      <c r="B318" s="89"/>
      <c r="C318" s="89"/>
      <c r="D318" s="150"/>
      <c r="E318" s="89"/>
      <c r="F318" s="151"/>
      <c r="G318" s="151"/>
      <c r="H318" s="151"/>
      <c r="I318" s="151"/>
      <c r="J318" s="152"/>
      <c r="K318" s="152"/>
      <c r="L318" s="152"/>
      <c r="M318" s="152"/>
      <c r="N318" s="150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</row>
    <row r="319" customFormat="false" ht="11.25" hidden="false" customHeight="true" outlineLevel="0" collapsed="false">
      <c r="A319" s="89"/>
      <c r="B319" s="89"/>
      <c r="C319" s="89"/>
      <c r="D319" s="150"/>
      <c r="E319" s="89"/>
      <c r="F319" s="151"/>
      <c r="G319" s="151"/>
      <c r="H319" s="151"/>
      <c r="I319" s="151"/>
      <c r="J319" s="152"/>
      <c r="K319" s="152"/>
      <c r="L319" s="152"/>
      <c r="M319" s="152"/>
      <c r="N319" s="150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</row>
    <row r="320" customFormat="false" ht="11.25" hidden="false" customHeight="true" outlineLevel="0" collapsed="false">
      <c r="A320" s="89"/>
      <c r="B320" s="89"/>
      <c r="C320" s="89"/>
      <c r="D320" s="150"/>
      <c r="E320" s="89"/>
      <c r="F320" s="151"/>
      <c r="G320" s="151"/>
      <c r="H320" s="151"/>
      <c r="I320" s="151"/>
      <c r="J320" s="152"/>
      <c r="K320" s="152"/>
      <c r="L320" s="152"/>
      <c r="M320" s="152"/>
      <c r="N320" s="150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</row>
    <row r="321" customFormat="false" ht="11.25" hidden="false" customHeight="true" outlineLevel="0" collapsed="false">
      <c r="A321" s="89"/>
      <c r="B321" s="89"/>
      <c r="C321" s="89"/>
      <c r="D321" s="150"/>
      <c r="E321" s="89"/>
      <c r="F321" s="151"/>
      <c r="G321" s="151"/>
      <c r="H321" s="151"/>
      <c r="I321" s="151"/>
      <c r="J321" s="152"/>
      <c r="K321" s="152"/>
      <c r="L321" s="152"/>
      <c r="M321" s="152"/>
      <c r="N321" s="150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</row>
    <row r="322" customFormat="false" ht="11.25" hidden="false" customHeight="true" outlineLevel="0" collapsed="false">
      <c r="A322" s="89"/>
      <c r="B322" s="89"/>
      <c r="C322" s="89"/>
      <c r="D322" s="150"/>
      <c r="E322" s="89"/>
      <c r="F322" s="151"/>
      <c r="G322" s="151"/>
      <c r="H322" s="151"/>
      <c r="I322" s="151"/>
      <c r="J322" s="152"/>
      <c r="K322" s="152"/>
      <c r="L322" s="152"/>
      <c r="M322" s="152"/>
      <c r="N322" s="150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</row>
    <row r="323" customFormat="false" ht="11.25" hidden="false" customHeight="true" outlineLevel="0" collapsed="false">
      <c r="A323" s="89"/>
      <c r="B323" s="89"/>
      <c r="C323" s="89"/>
      <c r="D323" s="150"/>
      <c r="E323" s="89"/>
      <c r="F323" s="151"/>
      <c r="G323" s="151"/>
      <c r="H323" s="151"/>
      <c r="I323" s="151"/>
      <c r="J323" s="152"/>
      <c r="K323" s="152"/>
      <c r="L323" s="152"/>
      <c r="M323" s="152"/>
      <c r="N323" s="150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</row>
    <row r="324" customFormat="false" ht="11.25" hidden="false" customHeight="true" outlineLevel="0" collapsed="false">
      <c r="A324" s="89"/>
      <c r="B324" s="89"/>
      <c r="C324" s="89"/>
      <c r="D324" s="150"/>
      <c r="E324" s="89"/>
      <c r="F324" s="151"/>
      <c r="G324" s="151"/>
      <c r="H324" s="151"/>
      <c r="I324" s="151"/>
      <c r="J324" s="152"/>
      <c r="K324" s="152"/>
      <c r="L324" s="152"/>
      <c r="M324" s="152"/>
      <c r="N324" s="150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</row>
    <row r="325" customFormat="false" ht="11.25" hidden="false" customHeight="true" outlineLevel="0" collapsed="false">
      <c r="A325" s="89"/>
      <c r="B325" s="89"/>
      <c r="C325" s="89"/>
      <c r="D325" s="150"/>
      <c r="E325" s="89"/>
      <c r="F325" s="151"/>
      <c r="G325" s="151"/>
      <c r="H325" s="151"/>
      <c r="I325" s="151"/>
      <c r="J325" s="152"/>
      <c r="K325" s="152"/>
      <c r="L325" s="152"/>
      <c r="M325" s="152"/>
      <c r="N325" s="150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</row>
    <row r="326" customFormat="false" ht="11.25" hidden="false" customHeight="true" outlineLevel="0" collapsed="false">
      <c r="A326" s="89"/>
      <c r="B326" s="89"/>
      <c r="C326" s="89"/>
      <c r="D326" s="150"/>
      <c r="E326" s="89"/>
      <c r="F326" s="151"/>
      <c r="G326" s="151"/>
      <c r="H326" s="151"/>
      <c r="I326" s="151"/>
      <c r="J326" s="152"/>
      <c r="K326" s="152"/>
      <c r="L326" s="152"/>
      <c r="M326" s="152"/>
      <c r="N326" s="150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</row>
    <row r="327" customFormat="false" ht="11.25" hidden="false" customHeight="true" outlineLevel="0" collapsed="false">
      <c r="A327" s="89"/>
      <c r="B327" s="89"/>
      <c r="C327" s="89"/>
      <c r="D327" s="150"/>
      <c r="E327" s="89"/>
      <c r="F327" s="151"/>
      <c r="G327" s="151"/>
      <c r="H327" s="151"/>
      <c r="I327" s="151"/>
      <c r="J327" s="152"/>
      <c r="K327" s="152"/>
      <c r="L327" s="152"/>
      <c r="M327" s="152"/>
      <c r="N327" s="150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</row>
    <row r="328" customFormat="false" ht="11.25" hidden="false" customHeight="true" outlineLevel="0" collapsed="false">
      <c r="A328" s="89"/>
      <c r="B328" s="89"/>
      <c r="C328" s="89"/>
      <c r="D328" s="150"/>
      <c r="E328" s="89"/>
      <c r="F328" s="151"/>
      <c r="G328" s="151"/>
      <c r="H328" s="151"/>
      <c r="I328" s="151"/>
      <c r="J328" s="152"/>
      <c r="K328" s="152"/>
      <c r="L328" s="152"/>
      <c r="M328" s="152"/>
      <c r="N328" s="150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</row>
    <row r="329" customFormat="false" ht="11.25" hidden="false" customHeight="true" outlineLevel="0" collapsed="false">
      <c r="A329" s="89"/>
      <c r="B329" s="89"/>
      <c r="C329" s="89"/>
      <c r="D329" s="150"/>
      <c r="E329" s="89"/>
      <c r="F329" s="151"/>
      <c r="G329" s="151"/>
      <c r="H329" s="151"/>
      <c r="I329" s="151"/>
      <c r="J329" s="152"/>
      <c r="K329" s="152"/>
      <c r="L329" s="152"/>
      <c r="M329" s="152"/>
      <c r="N329" s="150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</row>
    <row r="330" customFormat="false" ht="11.25" hidden="false" customHeight="true" outlineLevel="0" collapsed="false">
      <c r="A330" s="89"/>
      <c r="B330" s="89"/>
      <c r="C330" s="89"/>
      <c r="D330" s="150"/>
      <c r="E330" s="89"/>
      <c r="F330" s="151"/>
      <c r="G330" s="151"/>
      <c r="H330" s="151"/>
      <c r="I330" s="151"/>
      <c r="J330" s="152"/>
      <c r="K330" s="152"/>
      <c r="L330" s="152"/>
      <c r="M330" s="152"/>
      <c r="N330" s="150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</row>
    <row r="331" customFormat="false" ht="11.25" hidden="false" customHeight="true" outlineLevel="0" collapsed="false">
      <c r="A331" s="89"/>
      <c r="B331" s="89"/>
      <c r="C331" s="89"/>
      <c r="D331" s="150"/>
      <c r="E331" s="89"/>
      <c r="F331" s="151"/>
      <c r="G331" s="151"/>
      <c r="H331" s="151"/>
      <c r="I331" s="151"/>
      <c r="J331" s="152"/>
      <c r="K331" s="152"/>
      <c r="L331" s="152"/>
      <c r="M331" s="152"/>
      <c r="N331" s="150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</row>
    <row r="332" customFormat="false" ht="11.25" hidden="false" customHeight="true" outlineLevel="0" collapsed="false">
      <c r="A332" s="89"/>
      <c r="B332" s="89"/>
      <c r="C332" s="89"/>
      <c r="D332" s="150"/>
      <c r="E332" s="89"/>
      <c r="F332" s="151"/>
      <c r="G332" s="151"/>
      <c r="H332" s="151"/>
      <c r="I332" s="151"/>
      <c r="J332" s="152"/>
      <c r="K332" s="152"/>
      <c r="L332" s="152"/>
      <c r="M332" s="152"/>
      <c r="N332" s="150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</row>
    <row r="333" customFormat="false" ht="11.25" hidden="false" customHeight="true" outlineLevel="0" collapsed="false">
      <c r="A333" s="89"/>
      <c r="B333" s="89"/>
      <c r="C333" s="89"/>
      <c r="D333" s="150"/>
      <c r="E333" s="89"/>
      <c r="F333" s="151"/>
      <c r="G333" s="151"/>
      <c r="H333" s="151"/>
      <c r="I333" s="151"/>
      <c r="J333" s="152"/>
      <c r="K333" s="152"/>
      <c r="L333" s="152"/>
      <c r="M333" s="152"/>
      <c r="N333" s="150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</row>
    <row r="334" customFormat="false" ht="11.25" hidden="false" customHeight="true" outlineLevel="0" collapsed="false">
      <c r="A334" s="89"/>
      <c r="B334" s="89"/>
      <c r="C334" s="89"/>
      <c r="D334" s="150"/>
      <c r="E334" s="89"/>
      <c r="F334" s="151"/>
      <c r="G334" s="151"/>
      <c r="H334" s="151"/>
      <c r="I334" s="151"/>
      <c r="J334" s="152"/>
      <c r="K334" s="152"/>
      <c r="L334" s="152"/>
      <c r="M334" s="152"/>
      <c r="N334" s="150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</row>
    <row r="335" customFormat="false" ht="11.25" hidden="false" customHeight="true" outlineLevel="0" collapsed="false">
      <c r="A335" s="89"/>
      <c r="B335" s="89"/>
      <c r="C335" s="89"/>
      <c r="D335" s="150"/>
      <c r="E335" s="89"/>
      <c r="F335" s="151"/>
      <c r="G335" s="151"/>
      <c r="H335" s="151"/>
      <c r="I335" s="151"/>
      <c r="J335" s="152"/>
      <c r="K335" s="152"/>
      <c r="L335" s="152"/>
      <c r="M335" s="152"/>
      <c r="N335" s="150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</row>
    <row r="336" customFormat="false" ht="11.25" hidden="false" customHeight="true" outlineLevel="0" collapsed="false">
      <c r="A336" s="89"/>
      <c r="B336" s="89"/>
      <c r="C336" s="89"/>
      <c r="D336" s="150"/>
      <c r="E336" s="89"/>
      <c r="F336" s="151"/>
      <c r="G336" s="151"/>
      <c r="H336" s="151"/>
      <c r="I336" s="151"/>
      <c r="J336" s="152"/>
      <c r="K336" s="152"/>
      <c r="L336" s="152"/>
      <c r="M336" s="152"/>
      <c r="N336" s="150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</row>
    <row r="337" customFormat="false" ht="11.25" hidden="false" customHeight="true" outlineLevel="0" collapsed="false">
      <c r="A337" s="89"/>
      <c r="B337" s="89"/>
      <c r="C337" s="89"/>
      <c r="D337" s="150"/>
      <c r="E337" s="89"/>
      <c r="F337" s="151"/>
      <c r="G337" s="151"/>
      <c r="H337" s="151"/>
      <c r="I337" s="151"/>
      <c r="J337" s="152"/>
      <c r="K337" s="152"/>
      <c r="L337" s="152"/>
      <c r="M337" s="152"/>
      <c r="N337" s="150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</row>
    <row r="338" customFormat="false" ht="11.25" hidden="false" customHeight="true" outlineLevel="0" collapsed="false">
      <c r="A338" s="89"/>
      <c r="B338" s="89"/>
      <c r="C338" s="89"/>
      <c r="D338" s="150"/>
      <c r="E338" s="89"/>
      <c r="F338" s="151"/>
      <c r="G338" s="151"/>
      <c r="H338" s="151"/>
      <c r="I338" s="151"/>
      <c r="J338" s="152"/>
      <c r="K338" s="152"/>
      <c r="L338" s="152"/>
      <c r="M338" s="152"/>
      <c r="N338" s="150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</row>
    <row r="339" customFormat="false" ht="11.25" hidden="false" customHeight="true" outlineLevel="0" collapsed="false">
      <c r="A339" s="89"/>
      <c r="B339" s="89"/>
      <c r="C339" s="89"/>
      <c r="D339" s="150"/>
      <c r="E339" s="89"/>
      <c r="F339" s="151"/>
      <c r="G339" s="151"/>
      <c r="H339" s="151"/>
      <c r="I339" s="151"/>
      <c r="J339" s="152"/>
      <c r="K339" s="152"/>
      <c r="L339" s="152"/>
      <c r="M339" s="152"/>
      <c r="N339" s="150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</row>
    <row r="340" customFormat="false" ht="11.25" hidden="false" customHeight="true" outlineLevel="0" collapsed="false">
      <c r="A340" s="89"/>
      <c r="B340" s="89"/>
      <c r="C340" s="89"/>
      <c r="D340" s="150"/>
      <c r="E340" s="89"/>
      <c r="F340" s="151"/>
      <c r="G340" s="151"/>
      <c r="H340" s="151"/>
      <c r="I340" s="151"/>
      <c r="J340" s="152"/>
      <c r="K340" s="152"/>
      <c r="L340" s="152"/>
      <c r="M340" s="152"/>
      <c r="N340" s="150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</row>
    <row r="341" customFormat="false" ht="11.25" hidden="false" customHeight="true" outlineLevel="0" collapsed="false">
      <c r="A341" s="89"/>
      <c r="B341" s="89"/>
      <c r="C341" s="89"/>
      <c r="D341" s="150"/>
      <c r="E341" s="89"/>
      <c r="F341" s="151"/>
      <c r="G341" s="151"/>
      <c r="H341" s="151"/>
      <c r="I341" s="151"/>
      <c r="J341" s="152"/>
      <c r="K341" s="152"/>
      <c r="L341" s="152"/>
      <c r="M341" s="152"/>
      <c r="N341" s="150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</row>
    <row r="342" customFormat="false" ht="11.25" hidden="false" customHeight="true" outlineLevel="0" collapsed="false">
      <c r="A342" s="89"/>
      <c r="B342" s="89"/>
      <c r="C342" s="89"/>
      <c r="D342" s="150"/>
      <c r="E342" s="89"/>
      <c r="F342" s="151"/>
      <c r="G342" s="151"/>
      <c r="H342" s="151"/>
      <c r="I342" s="151"/>
      <c r="J342" s="152"/>
      <c r="K342" s="152"/>
      <c r="L342" s="152"/>
      <c r="M342" s="152"/>
      <c r="N342" s="150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</row>
    <row r="343" customFormat="false" ht="11.25" hidden="false" customHeight="true" outlineLevel="0" collapsed="false">
      <c r="A343" s="89"/>
      <c r="B343" s="89"/>
      <c r="C343" s="89"/>
      <c r="D343" s="150"/>
      <c r="E343" s="89"/>
      <c r="F343" s="151"/>
      <c r="G343" s="151"/>
      <c r="H343" s="151"/>
      <c r="I343" s="151"/>
      <c r="J343" s="152"/>
      <c r="K343" s="152"/>
      <c r="L343" s="152"/>
      <c r="M343" s="152"/>
      <c r="N343" s="150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</row>
    <row r="344" customFormat="false" ht="11.25" hidden="false" customHeight="true" outlineLevel="0" collapsed="false">
      <c r="A344" s="89"/>
      <c r="B344" s="89"/>
      <c r="C344" s="89"/>
      <c r="D344" s="150"/>
      <c r="E344" s="89"/>
      <c r="F344" s="151"/>
      <c r="G344" s="151"/>
      <c r="H344" s="151"/>
      <c r="I344" s="151"/>
      <c r="J344" s="152"/>
      <c r="K344" s="152"/>
      <c r="L344" s="152"/>
      <c r="M344" s="152"/>
      <c r="N344" s="150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</row>
    <row r="345" customFormat="false" ht="11.25" hidden="false" customHeight="true" outlineLevel="0" collapsed="false">
      <c r="A345" s="89"/>
      <c r="B345" s="89"/>
      <c r="C345" s="89"/>
      <c r="D345" s="150"/>
      <c r="E345" s="89"/>
      <c r="F345" s="151"/>
      <c r="G345" s="151"/>
      <c r="H345" s="151"/>
      <c r="I345" s="151"/>
      <c r="J345" s="152"/>
      <c r="K345" s="152"/>
      <c r="L345" s="152"/>
      <c r="M345" s="152"/>
      <c r="N345" s="150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</row>
    <row r="346" customFormat="false" ht="11.25" hidden="false" customHeight="true" outlineLevel="0" collapsed="false">
      <c r="A346" s="89"/>
      <c r="B346" s="89"/>
      <c r="C346" s="89"/>
      <c r="D346" s="150"/>
      <c r="E346" s="89"/>
      <c r="F346" s="151"/>
      <c r="G346" s="151"/>
      <c r="H346" s="151"/>
      <c r="I346" s="151"/>
      <c r="J346" s="152"/>
      <c r="K346" s="152"/>
      <c r="L346" s="152"/>
      <c r="M346" s="152"/>
      <c r="N346" s="150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</row>
    <row r="347" customFormat="false" ht="11.25" hidden="false" customHeight="true" outlineLevel="0" collapsed="false">
      <c r="A347" s="89"/>
      <c r="B347" s="89"/>
      <c r="C347" s="89"/>
      <c r="D347" s="150"/>
      <c r="E347" s="89"/>
      <c r="F347" s="151"/>
      <c r="G347" s="151"/>
      <c r="H347" s="151"/>
      <c r="I347" s="151"/>
      <c r="J347" s="152"/>
      <c r="K347" s="152"/>
      <c r="L347" s="152"/>
      <c r="M347" s="152"/>
      <c r="N347" s="150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</row>
    <row r="348" customFormat="false" ht="11.25" hidden="false" customHeight="true" outlineLevel="0" collapsed="false">
      <c r="A348" s="89"/>
      <c r="B348" s="89"/>
      <c r="C348" s="89"/>
      <c r="D348" s="150"/>
      <c r="E348" s="89"/>
      <c r="F348" s="151"/>
      <c r="G348" s="151"/>
      <c r="H348" s="151"/>
      <c r="I348" s="151"/>
      <c r="J348" s="152"/>
      <c r="K348" s="152"/>
      <c r="L348" s="152"/>
      <c r="M348" s="152"/>
      <c r="N348" s="150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</row>
    <row r="349" customFormat="false" ht="11.25" hidden="false" customHeight="true" outlineLevel="0" collapsed="false">
      <c r="A349" s="89"/>
      <c r="B349" s="89"/>
      <c r="C349" s="89"/>
      <c r="D349" s="150"/>
      <c r="E349" s="89"/>
      <c r="F349" s="151"/>
      <c r="G349" s="151"/>
      <c r="H349" s="151"/>
      <c r="I349" s="151"/>
      <c r="J349" s="152"/>
      <c r="K349" s="152"/>
      <c r="L349" s="152"/>
      <c r="M349" s="152"/>
      <c r="N349" s="150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</row>
    <row r="350" customFormat="false" ht="11.25" hidden="false" customHeight="true" outlineLevel="0" collapsed="false">
      <c r="A350" s="89"/>
      <c r="B350" s="89"/>
      <c r="C350" s="89"/>
      <c r="D350" s="150"/>
      <c r="E350" s="89"/>
      <c r="F350" s="151"/>
      <c r="G350" s="151"/>
      <c r="H350" s="151"/>
      <c r="I350" s="151"/>
      <c r="J350" s="152"/>
      <c r="K350" s="152"/>
      <c r="L350" s="152"/>
      <c r="M350" s="152"/>
      <c r="N350" s="150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</row>
    <row r="351" customFormat="false" ht="11.25" hidden="false" customHeight="true" outlineLevel="0" collapsed="false">
      <c r="A351" s="89"/>
      <c r="B351" s="89"/>
      <c r="C351" s="89"/>
      <c r="D351" s="150"/>
      <c r="E351" s="89"/>
      <c r="F351" s="151"/>
      <c r="G351" s="151"/>
      <c r="H351" s="151"/>
      <c r="I351" s="151"/>
      <c r="J351" s="152"/>
      <c r="K351" s="152"/>
      <c r="L351" s="152"/>
      <c r="M351" s="152"/>
      <c r="N351" s="150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</row>
    <row r="352" customFormat="false" ht="11.25" hidden="false" customHeight="true" outlineLevel="0" collapsed="false">
      <c r="A352" s="89"/>
      <c r="B352" s="89"/>
      <c r="C352" s="89"/>
      <c r="D352" s="150"/>
      <c r="E352" s="89"/>
      <c r="F352" s="151"/>
      <c r="G352" s="151"/>
      <c r="H352" s="151"/>
      <c r="I352" s="151"/>
      <c r="J352" s="152"/>
      <c r="K352" s="152"/>
      <c r="L352" s="152"/>
      <c r="M352" s="152"/>
      <c r="N352" s="150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</row>
    <row r="353" customFormat="false" ht="11.25" hidden="false" customHeight="true" outlineLevel="0" collapsed="false">
      <c r="A353" s="89"/>
      <c r="B353" s="89"/>
      <c r="C353" s="89"/>
      <c r="D353" s="150"/>
      <c r="E353" s="89"/>
      <c r="F353" s="151"/>
      <c r="G353" s="151"/>
      <c r="H353" s="151"/>
      <c r="I353" s="151"/>
      <c r="J353" s="152"/>
      <c r="K353" s="152"/>
      <c r="L353" s="152"/>
      <c r="M353" s="152"/>
      <c r="N353" s="150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</row>
    <row r="354" customFormat="false" ht="11.25" hidden="false" customHeight="true" outlineLevel="0" collapsed="false">
      <c r="A354" s="89"/>
      <c r="B354" s="89"/>
      <c r="C354" s="89"/>
      <c r="D354" s="150"/>
      <c r="E354" s="89"/>
      <c r="F354" s="151"/>
      <c r="G354" s="151"/>
      <c r="H354" s="151"/>
      <c r="I354" s="151"/>
      <c r="J354" s="152"/>
      <c r="K354" s="152"/>
      <c r="L354" s="152"/>
      <c r="M354" s="152"/>
      <c r="N354" s="150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</row>
    <row r="355" customFormat="false" ht="11.25" hidden="false" customHeight="true" outlineLevel="0" collapsed="false">
      <c r="A355" s="89"/>
      <c r="B355" s="89"/>
      <c r="C355" s="89"/>
      <c r="D355" s="150"/>
      <c r="E355" s="89"/>
      <c r="F355" s="151"/>
      <c r="G355" s="151"/>
      <c r="H355" s="151"/>
      <c r="I355" s="151"/>
      <c r="J355" s="152"/>
      <c r="K355" s="152"/>
      <c r="L355" s="152"/>
      <c r="M355" s="152"/>
      <c r="N355" s="150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</row>
    <row r="356" customFormat="false" ht="11.25" hidden="false" customHeight="true" outlineLevel="0" collapsed="false">
      <c r="A356" s="89"/>
      <c r="B356" s="89"/>
      <c r="C356" s="89"/>
      <c r="D356" s="150"/>
      <c r="E356" s="89"/>
      <c r="F356" s="151"/>
      <c r="G356" s="151"/>
      <c r="H356" s="151"/>
      <c r="I356" s="151"/>
      <c r="J356" s="152"/>
      <c r="K356" s="152"/>
      <c r="L356" s="152"/>
      <c r="M356" s="152"/>
      <c r="N356" s="150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</row>
    <row r="357" customFormat="false" ht="11.25" hidden="false" customHeight="true" outlineLevel="0" collapsed="false">
      <c r="A357" s="89"/>
      <c r="B357" s="89"/>
      <c r="C357" s="89"/>
      <c r="D357" s="150"/>
      <c r="E357" s="89"/>
      <c r="F357" s="151"/>
      <c r="G357" s="151"/>
      <c r="H357" s="151"/>
      <c r="I357" s="151"/>
      <c r="J357" s="152"/>
      <c r="K357" s="152"/>
      <c r="L357" s="152"/>
      <c r="M357" s="152"/>
      <c r="N357" s="150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</row>
    <row r="358" customFormat="false" ht="11.25" hidden="false" customHeight="true" outlineLevel="0" collapsed="false">
      <c r="A358" s="89"/>
      <c r="B358" s="89"/>
      <c r="C358" s="89"/>
      <c r="D358" s="150"/>
      <c r="E358" s="89"/>
      <c r="F358" s="151"/>
      <c r="G358" s="151"/>
      <c r="H358" s="151"/>
      <c r="I358" s="151"/>
      <c r="J358" s="152"/>
      <c r="K358" s="152"/>
      <c r="L358" s="152"/>
      <c r="M358" s="152"/>
      <c r="N358" s="150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</row>
    <row r="359" customFormat="false" ht="11.25" hidden="false" customHeight="true" outlineLevel="0" collapsed="false">
      <c r="A359" s="89"/>
      <c r="B359" s="89"/>
      <c r="C359" s="89"/>
      <c r="D359" s="150"/>
      <c r="E359" s="89"/>
      <c r="F359" s="151"/>
      <c r="G359" s="151"/>
      <c r="H359" s="151"/>
      <c r="I359" s="151"/>
      <c r="J359" s="152"/>
      <c r="K359" s="152"/>
      <c r="L359" s="152"/>
      <c r="M359" s="152"/>
      <c r="N359" s="150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</row>
    <row r="360" customFormat="false" ht="11.25" hidden="false" customHeight="true" outlineLevel="0" collapsed="false">
      <c r="A360" s="89"/>
      <c r="B360" s="89"/>
      <c r="C360" s="89"/>
      <c r="D360" s="150"/>
      <c r="E360" s="89"/>
      <c r="F360" s="151"/>
      <c r="G360" s="151"/>
      <c r="H360" s="151"/>
      <c r="I360" s="151"/>
      <c r="J360" s="152"/>
      <c r="K360" s="152"/>
      <c r="L360" s="152"/>
      <c r="M360" s="152"/>
      <c r="N360" s="150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</row>
    <row r="361" customFormat="false" ht="11.25" hidden="false" customHeight="true" outlineLevel="0" collapsed="false">
      <c r="A361" s="89"/>
      <c r="B361" s="89"/>
      <c r="C361" s="89"/>
      <c r="D361" s="150"/>
      <c r="E361" s="89"/>
      <c r="F361" s="151"/>
      <c r="G361" s="151"/>
      <c r="H361" s="151"/>
      <c r="I361" s="151"/>
      <c r="J361" s="152"/>
      <c r="K361" s="152"/>
      <c r="L361" s="152"/>
      <c r="M361" s="152"/>
      <c r="N361" s="150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</row>
    <row r="362" customFormat="false" ht="11.25" hidden="false" customHeight="true" outlineLevel="0" collapsed="false">
      <c r="A362" s="89"/>
      <c r="B362" s="89"/>
      <c r="C362" s="89"/>
      <c r="D362" s="150"/>
      <c r="E362" s="89"/>
      <c r="F362" s="151"/>
      <c r="G362" s="151"/>
      <c r="H362" s="151"/>
      <c r="I362" s="151"/>
      <c r="J362" s="152"/>
      <c r="K362" s="152"/>
      <c r="L362" s="152"/>
      <c r="M362" s="152"/>
      <c r="N362" s="150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</row>
    <row r="363" customFormat="false" ht="11.25" hidden="false" customHeight="true" outlineLevel="0" collapsed="false">
      <c r="A363" s="89"/>
      <c r="B363" s="89"/>
      <c r="C363" s="89"/>
      <c r="D363" s="150"/>
      <c r="E363" s="89"/>
      <c r="F363" s="151"/>
      <c r="G363" s="151"/>
      <c r="H363" s="151"/>
      <c r="I363" s="151"/>
      <c r="J363" s="152"/>
      <c r="K363" s="152"/>
      <c r="L363" s="152"/>
      <c r="M363" s="152"/>
      <c r="N363" s="150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</row>
    <row r="364" customFormat="false" ht="11.25" hidden="false" customHeight="true" outlineLevel="0" collapsed="false">
      <c r="A364" s="89"/>
      <c r="B364" s="89"/>
      <c r="C364" s="89"/>
      <c r="D364" s="150"/>
      <c r="E364" s="89"/>
      <c r="F364" s="151"/>
      <c r="G364" s="151"/>
      <c r="H364" s="151"/>
      <c r="I364" s="151"/>
      <c r="J364" s="152"/>
      <c r="K364" s="152"/>
      <c r="L364" s="152"/>
      <c r="M364" s="152"/>
      <c r="N364" s="150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</row>
    <row r="365" customFormat="false" ht="11.25" hidden="false" customHeight="true" outlineLevel="0" collapsed="false">
      <c r="A365" s="89"/>
      <c r="B365" s="89"/>
      <c r="C365" s="89"/>
      <c r="D365" s="150"/>
      <c r="E365" s="89"/>
      <c r="F365" s="151"/>
      <c r="G365" s="151"/>
      <c r="H365" s="151"/>
      <c r="I365" s="151"/>
      <c r="J365" s="152"/>
      <c r="K365" s="152"/>
      <c r="L365" s="152"/>
      <c r="M365" s="152"/>
      <c r="N365" s="150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</row>
    <row r="366" customFormat="false" ht="11.25" hidden="false" customHeight="true" outlineLevel="0" collapsed="false">
      <c r="A366" s="89"/>
      <c r="B366" s="89"/>
      <c r="C366" s="89"/>
      <c r="D366" s="150"/>
      <c r="E366" s="89"/>
      <c r="F366" s="151"/>
      <c r="G366" s="151"/>
      <c r="H366" s="151"/>
      <c r="I366" s="151"/>
      <c r="J366" s="152"/>
      <c r="K366" s="152"/>
      <c r="L366" s="152"/>
      <c r="M366" s="152"/>
      <c r="N366" s="150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</row>
    <row r="367" customFormat="false" ht="11.25" hidden="false" customHeight="true" outlineLevel="0" collapsed="false">
      <c r="A367" s="89"/>
      <c r="B367" s="89"/>
      <c r="C367" s="89"/>
      <c r="D367" s="150"/>
      <c r="E367" s="89"/>
      <c r="F367" s="151"/>
      <c r="G367" s="151"/>
      <c r="H367" s="151"/>
      <c r="I367" s="151"/>
      <c r="J367" s="152"/>
      <c r="K367" s="152"/>
      <c r="L367" s="152"/>
      <c r="M367" s="152"/>
      <c r="N367" s="150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</row>
    <row r="368" customFormat="false" ht="11.25" hidden="false" customHeight="true" outlineLevel="0" collapsed="false">
      <c r="A368" s="89"/>
      <c r="B368" s="89"/>
      <c r="C368" s="89"/>
      <c r="D368" s="150"/>
      <c r="E368" s="89"/>
      <c r="F368" s="151"/>
      <c r="G368" s="151"/>
      <c r="H368" s="151"/>
      <c r="I368" s="151"/>
      <c r="J368" s="152"/>
      <c r="K368" s="152"/>
      <c r="L368" s="152"/>
      <c r="M368" s="152"/>
      <c r="N368" s="150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</row>
    <row r="369" customFormat="false" ht="11.25" hidden="false" customHeight="true" outlineLevel="0" collapsed="false">
      <c r="A369" s="89"/>
      <c r="B369" s="89"/>
      <c r="C369" s="89"/>
      <c r="D369" s="150"/>
      <c r="E369" s="89"/>
      <c r="F369" s="151"/>
      <c r="G369" s="151"/>
      <c r="H369" s="151"/>
      <c r="I369" s="151"/>
      <c r="J369" s="152"/>
      <c r="K369" s="152"/>
      <c r="L369" s="152"/>
      <c r="M369" s="152"/>
      <c r="N369" s="150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</row>
    <row r="370" customFormat="false" ht="11.25" hidden="false" customHeight="true" outlineLevel="0" collapsed="false">
      <c r="A370" s="89"/>
      <c r="B370" s="89"/>
      <c r="C370" s="89"/>
      <c r="D370" s="150"/>
      <c r="E370" s="89"/>
      <c r="F370" s="151"/>
      <c r="G370" s="151"/>
      <c r="H370" s="151"/>
      <c r="I370" s="151"/>
      <c r="J370" s="152"/>
      <c r="K370" s="152"/>
      <c r="L370" s="152"/>
      <c r="M370" s="152"/>
      <c r="N370" s="150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</row>
    <row r="371" customFormat="false" ht="11.25" hidden="false" customHeight="true" outlineLevel="0" collapsed="false">
      <c r="A371" s="89"/>
      <c r="B371" s="89"/>
      <c r="C371" s="89"/>
      <c r="D371" s="150"/>
      <c r="E371" s="89"/>
      <c r="F371" s="151"/>
      <c r="G371" s="151"/>
      <c r="H371" s="151"/>
      <c r="I371" s="151"/>
      <c r="J371" s="152"/>
      <c r="K371" s="152"/>
      <c r="L371" s="152"/>
      <c r="M371" s="152"/>
      <c r="N371" s="150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</row>
    <row r="372" customFormat="false" ht="11.25" hidden="false" customHeight="true" outlineLevel="0" collapsed="false">
      <c r="A372" s="89"/>
      <c r="B372" s="89"/>
      <c r="C372" s="89"/>
      <c r="D372" s="150"/>
      <c r="E372" s="89"/>
      <c r="F372" s="151"/>
      <c r="G372" s="151"/>
      <c r="H372" s="151"/>
      <c r="I372" s="151"/>
      <c r="J372" s="152"/>
      <c r="K372" s="152"/>
      <c r="L372" s="152"/>
      <c r="M372" s="152"/>
      <c r="N372" s="150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</row>
    <row r="373" customFormat="false" ht="11.25" hidden="false" customHeight="true" outlineLevel="0" collapsed="false">
      <c r="A373" s="89"/>
      <c r="B373" s="89"/>
      <c r="C373" s="89"/>
      <c r="D373" s="150"/>
      <c r="E373" s="89"/>
      <c r="F373" s="151"/>
      <c r="G373" s="151"/>
      <c r="H373" s="151"/>
      <c r="I373" s="151"/>
      <c r="J373" s="152"/>
      <c r="K373" s="152"/>
      <c r="L373" s="152"/>
      <c r="M373" s="152"/>
      <c r="N373" s="150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</row>
    <row r="374" customFormat="false" ht="11.25" hidden="false" customHeight="true" outlineLevel="0" collapsed="false">
      <c r="A374" s="89"/>
      <c r="B374" s="89"/>
      <c r="C374" s="89"/>
      <c r="D374" s="150"/>
      <c r="E374" s="89"/>
      <c r="F374" s="151"/>
      <c r="G374" s="151"/>
      <c r="H374" s="151"/>
      <c r="I374" s="151"/>
      <c r="J374" s="152"/>
      <c r="K374" s="152"/>
      <c r="L374" s="152"/>
      <c r="M374" s="152"/>
      <c r="N374" s="150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</row>
    <row r="375" customFormat="false" ht="11.25" hidden="false" customHeight="true" outlineLevel="0" collapsed="false">
      <c r="A375" s="89"/>
      <c r="B375" s="89"/>
      <c r="C375" s="89"/>
      <c r="D375" s="150"/>
      <c r="E375" s="89"/>
      <c r="F375" s="151"/>
      <c r="G375" s="151"/>
      <c r="H375" s="151"/>
      <c r="I375" s="151"/>
      <c r="J375" s="152"/>
      <c r="K375" s="152"/>
      <c r="L375" s="152"/>
      <c r="M375" s="152"/>
      <c r="N375" s="150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</row>
    <row r="376" customFormat="false" ht="11.25" hidden="false" customHeight="true" outlineLevel="0" collapsed="false">
      <c r="A376" s="89"/>
      <c r="B376" s="89"/>
      <c r="C376" s="89"/>
      <c r="D376" s="150"/>
      <c r="E376" s="89"/>
      <c r="F376" s="151"/>
      <c r="G376" s="151"/>
      <c r="H376" s="151"/>
      <c r="I376" s="151"/>
      <c r="J376" s="152"/>
      <c r="K376" s="152"/>
      <c r="L376" s="152"/>
      <c r="M376" s="152"/>
      <c r="N376" s="150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</row>
    <row r="377" customFormat="false" ht="11.25" hidden="false" customHeight="true" outlineLevel="0" collapsed="false">
      <c r="A377" s="89"/>
      <c r="B377" s="89"/>
      <c r="C377" s="89"/>
      <c r="D377" s="150"/>
      <c r="E377" s="89"/>
      <c r="F377" s="151"/>
      <c r="G377" s="151"/>
      <c r="H377" s="151"/>
      <c r="I377" s="151"/>
      <c r="J377" s="152"/>
      <c r="K377" s="152"/>
      <c r="L377" s="152"/>
      <c r="M377" s="152"/>
      <c r="N377" s="150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</row>
    <row r="378" customFormat="false" ht="11.25" hidden="false" customHeight="true" outlineLevel="0" collapsed="false">
      <c r="A378" s="89"/>
      <c r="B378" s="89"/>
      <c r="C378" s="89"/>
      <c r="D378" s="150"/>
      <c r="E378" s="89"/>
      <c r="F378" s="151"/>
      <c r="G378" s="151"/>
      <c r="H378" s="151"/>
      <c r="I378" s="151"/>
      <c r="J378" s="152"/>
      <c r="K378" s="152"/>
      <c r="L378" s="152"/>
      <c r="M378" s="152"/>
      <c r="N378" s="150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</row>
    <row r="379" customFormat="false" ht="11.25" hidden="false" customHeight="true" outlineLevel="0" collapsed="false">
      <c r="A379" s="89"/>
      <c r="B379" s="89"/>
      <c r="C379" s="89"/>
      <c r="D379" s="150"/>
      <c r="E379" s="89"/>
      <c r="F379" s="151"/>
      <c r="G379" s="151"/>
      <c r="H379" s="151"/>
      <c r="I379" s="151"/>
      <c r="J379" s="152"/>
      <c r="K379" s="152"/>
      <c r="L379" s="152"/>
      <c r="M379" s="152"/>
      <c r="N379" s="150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</row>
    <row r="380" customFormat="false" ht="11.25" hidden="false" customHeight="true" outlineLevel="0" collapsed="false">
      <c r="A380" s="89"/>
      <c r="B380" s="89"/>
      <c r="C380" s="89"/>
      <c r="D380" s="150"/>
      <c r="E380" s="89"/>
      <c r="F380" s="151"/>
      <c r="G380" s="151"/>
      <c r="H380" s="151"/>
      <c r="I380" s="151"/>
      <c r="J380" s="152"/>
      <c r="K380" s="152"/>
      <c r="L380" s="152"/>
      <c r="M380" s="152"/>
      <c r="N380" s="150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</row>
    <row r="381" customFormat="false" ht="11.25" hidden="false" customHeight="true" outlineLevel="0" collapsed="false">
      <c r="A381" s="89"/>
      <c r="B381" s="89"/>
      <c r="C381" s="89"/>
      <c r="D381" s="150"/>
      <c r="E381" s="89"/>
      <c r="F381" s="151"/>
      <c r="G381" s="151"/>
      <c r="H381" s="151"/>
      <c r="I381" s="151"/>
      <c r="J381" s="152"/>
      <c r="K381" s="152"/>
      <c r="L381" s="152"/>
      <c r="M381" s="152"/>
      <c r="N381" s="150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</row>
    <row r="382" customFormat="false" ht="11.25" hidden="false" customHeight="true" outlineLevel="0" collapsed="false">
      <c r="A382" s="89"/>
      <c r="B382" s="89"/>
      <c r="C382" s="89"/>
      <c r="D382" s="150"/>
      <c r="E382" s="89"/>
      <c r="F382" s="151"/>
      <c r="G382" s="151"/>
      <c r="H382" s="151"/>
      <c r="I382" s="151"/>
      <c r="J382" s="152"/>
      <c r="K382" s="152"/>
      <c r="L382" s="152"/>
      <c r="M382" s="152"/>
      <c r="N382" s="150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</row>
    <row r="383" customFormat="false" ht="11.25" hidden="false" customHeight="true" outlineLevel="0" collapsed="false">
      <c r="A383" s="89"/>
      <c r="B383" s="89"/>
      <c r="C383" s="89"/>
      <c r="D383" s="150"/>
      <c r="E383" s="89"/>
      <c r="F383" s="151"/>
      <c r="G383" s="151"/>
      <c r="H383" s="151"/>
      <c r="I383" s="151"/>
      <c r="J383" s="152"/>
      <c r="K383" s="152"/>
      <c r="L383" s="152"/>
      <c r="M383" s="152"/>
      <c r="N383" s="150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</row>
    <row r="384" customFormat="false" ht="11.25" hidden="false" customHeight="true" outlineLevel="0" collapsed="false">
      <c r="A384" s="89"/>
      <c r="B384" s="89"/>
      <c r="C384" s="89"/>
      <c r="D384" s="150"/>
      <c r="E384" s="89"/>
      <c r="F384" s="151"/>
      <c r="G384" s="151"/>
      <c r="H384" s="151"/>
      <c r="I384" s="151"/>
      <c r="J384" s="152"/>
      <c r="K384" s="152"/>
      <c r="L384" s="152"/>
      <c r="M384" s="152"/>
      <c r="N384" s="150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</row>
    <row r="385" customFormat="false" ht="11.25" hidden="false" customHeight="true" outlineLevel="0" collapsed="false">
      <c r="A385" s="89"/>
      <c r="B385" s="89"/>
      <c r="C385" s="89"/>
      <c r="D385" s="150"/>
      <c r="E385" s="89"/>
      <c r="F385" s="151"/>
      <c r="G385" s="151"/>
      <c r="H385" s="151"/>
      <c r="I385" s="151"/>
      <c r="J385" s="152"/>
      <c r="K385" s="152"/>
      <c r="L385" s="152"/>
      <c r="M385" s="152"/>
      <c r="N385" s="150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</row>
    <row r="386" customFormat="false" ht="11.25" hidden="false" customHeight="true" outlineLevel="0" collapsed="false">
      <c r="A386" s="89"/>
      <c r="B386" s="89"/>
      <c r="C386" s="89"/>
      <c r="D386" s="150"/>
      <c r="E386" s="89"/>
      <c r="F386" s="151"/>
      <c r="G386" s="151"/>
      <c r="H386" s="151"/>
      <c r="I386" s="151"/>
      <c r="J386" s="152"/>
      <c r="K386" s="152"/>
      <c r="L386" s="152"/>
      <c r="M386" s="152"/>
      <c r="N386" s="150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</row>
    <row r="387" customFormat="false" ht="11.25" hidden="false" customHeight="true" outlineLevel="0" collapsed="false">
      <c r="A387" s="89"/>
      <c r="B387" s="89"/>
      <c r="C387" s="89"/>
      <c r="D387" s="150"/>
      <c r="E387" s="89"/>
      <c r="F387" s="151"/>
      <c r="G387" s="151"/>
      <c r="H387" s="151"/>
      <c r="I387" s="151"/>
      <c r="J387" s="152"/>
      <c r="K387" s="152"/>
      <c r="L387" s="152"/>
      <c r="M387" s="152"/>
      <c r="N387" s="150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</row>
    <row r="388" customFormat="false" ht="11.25" hidden="false" customHeight="true" outlineLevel="0" collapsed="false">
      <c r="A388" s="89"/>
      <c r="B388" s="89"/>
      <c r="C388" s="89"/>
      <c r="D388" s="150"/>
      <c r="E388" s="89"/>
      <c r="F388" s="151"/>
      <c r="G388" s="151"/>
      <c r="H388" s="151"/>
      <c r="I388" s="151"/>
      <c r="J388" s="152"/>
      <c r="K388" s="152"/>
      <c r="L388" s="152"/>
      <c r="M388" s="152"/>
      <c r="N388" s="150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</row>
    <row r="389" customFormat="false" ht="11.25" hidden="false" customHeight="true" outlineLevel="0" collapsed="false">
      <c r="A389" s="89"/>
      <c r="B389" s="89"/>
      <c r="C389" s="89"/>
      <c r="D389" s="150"/>
      <c r="E389" s="89"/>
      <c r="F389" s="151"/>
      <c r="G389" s="151"/>
      <c r="H389" s="151"/>
      <c r="I389" s="151"/>
      <c r="J389" s="152"/>
      <c r="K389" s="152"/>
      <c r="L389" s="152"/>
      <c r="M389" s="152"/>
      <c r="N389" s="150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</row>
    <row r="390" customFormat="false" ht="11.25" hidden="false" customHeight="true" outlineLevel="0" collapsed="false">
      <c r="A390" s="89"/>
      <c r="B390" s="89"/>
      <c r="C390" s="89"/>
      <c r="D390" s="150"/>
      <c r="E390" s="89"/>
      <c r="F390" s="151"/>
      <c r="G390" s="151"/>
      <c r="H390" s="151"/>
      <c r="I390" s="151"/>
      <c r="J390" s="152"/>
      <c r="K390" s="152"/>
      <c r="L390" s="152"/>
      <c r="M390" s="152"/>
      <c r="N390" s="150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</row>
    <row r="391" customFormat="false" ht="11.25" hidden="false" customHeight="true" outlineLevel="0" collapsed="false">
      <c r="A391" s="89"/>
      <c r="B391" s="89"/>
      <c r="C391" s="89"/>
      <c r="D391" s="150"/>
      <c r="E391" s="89"/>
      <c r="F391" s="151"/>
      <c r="G391" s="151"/>
      <c r="H391" s="151"/>
      <c r="I391" s="151"/>
      <c r="J391" s="152"/>
      <c r="K391" s="152"/>
      <c r="L391" s="152"/>
      <c r="M391" s="152"/>
      <c r="N391" s="150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</row>
    <row r="392" customFormat="false" ht="11.25" hidden="false" customHeight="true" outlineLevel="0" collapsed="false">
      <c r="A392" s="89"/>
      <c r="B392" s="89"/>
      <c r="C392" s="89"/>
      <c r="D392" s="150"/>
      <c r="E392" s="89"/>
      <c r="F392" s="151"/>
      <c r="G392" s="151"/>
      <c r="H392" s="151"/>
      <c r="I392" s="151"/>
      <c r="J392" s="152"/>
      <c r="K392" s="152"/>
      <c r="L392" s="152"/>
      <c r="M392" s="152"/>
      <c r="N392" s="150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</row>
    <row r="393" customFormat="false" ht="11.25" hidden="false" customHeight="true" outlineLevel="0" collapsed="false">
      <c r="A393" s="89"/>
      <c r="B393" s="89"/>
      <c r="C393" s="89"/>
      <c r="D393" s="150"/>
      <c r="E393" s="89"/>
      <c r="F393" s="151"/>
      <c r="G393" s="151"/>
      <c r="H393" s="151"/>
      <c r="I393" s="151"/>
      <c r="J393" s="152"/>
      <c r="K393" s="152"/>
      <c r="L393" s="152"/>
      <c r="M393" s="152"/>
      <c r="N393" s="150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</row>
    <row r="394" customFormat="false" ht="11.25" hidden="false" customHeight="true" outlineLevel="0" collapsed="false">
      <c r="A394" s="89"/>
      <c r="B394" s="89"/>
      <c r="C394" s="89"/>
      <c r="D394" s="150"/>
      <c r="E394" s="89"/>
      <c r="F394" s="151"/>
      <c r="G394" s="151"/>
      <c r="H394" s="151"/>
      <c r="I394" s="151"/>
      <c r="J394" s="152"/>
      <c r="K394" s="152"/>
      <c r="L394" s="152"/>
      <c r="M394" s="152"/>
      <c r="N394" s="150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</row>
    <row r="395" customFormat="false" ht="11.25" hidden="false" customHeight="true" outlineLevel="0" collapsed="false">
      <c r="A395" s="89"/>
      <c r="B395" s="89"/>
      <c r="C395" s="89"/>
      <c r="D395" s="150"/>
      <c r="E395" s="89"/>
      <c r="F395" s="151"/>
      <c r="G395" s="151"/>
      <c r="H395" s="151"/>
      <c r="I395" s="151"/>
      <c r="J395" s="152"/>
      <c r="K395" s="152"/>
      <c r="L395" s="152"/>
      <c r="M395" s="152"/>
      <c r="N395" s="150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</row>
    <row r="396" customFormat="false" ht="11.25" hidden="false" customHeight="true" outlineLevel="0" collapsed="false">
      <c r="A396" s="89"/>
      <c r="B396" s="89"/>
      <c r="C396" s="89"/>
      <c r="D396" s="150"/>
      <c r="E396" s="89"/>
      <c r="F396" s="151"/>
      <c r="G396" s="151"/>
      <c r="H396" s="151"/>
      <c r="I396" s="151"/>
      <c r="J396" s="152"/>
      <c r="K396" s="152"/>
      <c r="L396" s="152"/>
      <c r="M396" s="152"/>
      <c r="N396" s="150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</row>
    <row r="397" customFormat="false" ht="11.25" hidden="false" customHeight="true" outlineLevel="0" collapsed="false">
      <c r="A397" s="89"/>
      <c r="B397" s="89"/>
      <c r="C397" s="89"/>
      <c r="D397" s="150"/>
      <c r="E397" s="89"/>
      <c r="F397" s="151"/>
      <c r="G397" s="151"/>
      <c r="H397" s="151"/>
      <c r="I397" s="151"/>
      <c r="J397" s="152"/>
      <c r="K397" s="152"/>
      <c r="L397" s="152"/>
      <c r="M397" s="152"/>
      <c r="N397" s="150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</row>
    <row r="398" customFormat="false" ht="11.25" hidden="false" customHeight="true" outlineLevel="0" collapsed="false">
      <c r="A398" s="89"/>
      <c r="B398" s="89"/>
      <c r="C398" s="89"/>
      <c r="D398" s="150"/>
      <c r="E398" s="89"/>
      <c r="F398" s="151"/>
      <c r="G398" s="151"/>
      <c r="H398" s="151"/>
      <c r="I398" s="151"/>
      <c r="J398" s="152"/>
      <c r="K398" s="152"/>
      <c r="L398" s="152"/>
      <c r="M398" s="152"/>
      <c r="N398" s="150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</row>
    <row r="399" customFormat="false" ht="11.25" hidden="false" customHeight="true" outlineLevel="0" collapsed="false">
      <c r="A399" s="89"/>
      <c r="B399" s="89"/>
      <c r="C399" s="89"/>
      <c r="D399" s="150"/>
      <c r="E399" s="89"/>
      <c r="F399" s="151"/>
      <c r="G399" s="151"/>
      <c r="H399" s="151"/>
      <c r="I399" s="151"/>
      <c r="J399" s="152"/>
      <c r="K399" s="152"/>
      <c r="L399" s="152"/>
      <c r="M399" s="152"/>
      <c r="N399" s="150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</row>
    <row r="400" customFormat="false" ht="11.25" hidden="false" customHeight="true" outlineLevel="0" collapsed="false">
      <c r="A400" s="89"/>
      <c r="B400" s="89"/>
      <c r="C400" s="89"/>
      <c r="D400" s="150"/>
      <c r="E400" s="89"/>
      <c r="F400" s="151"/>
      <c r="G400" s="151"/>
      <c r="H400" s="151"/>
      <c r="I400" s="151"/>
      <c r="J400" s="152"/>
      <c r="K400" s="152"/>
      <c r="L400" s="152"/>
      <c r="M400" s="152"/>
      <c r="N400" s="150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</row>
    <row r="401" customFormat="false" ht="11.25" hidden="false" customHeight="true" outlineLevel="0" collapsed="false">
      <c r="A401" s="89"/>
      <c r="B401" s="89"/>
      <c r="C401" s="89"/>
      <c r="D401" s="150"/>
      <c r="E401" s="89"/>
      <c r="F401" s="151"/>
      <c r="G401" s="151"/>
      <c r="H401" s="151"/>
      <c r="I401" s="151"/>
      <c r="J401" s="152"/>
      <c r="K401" s="152"/>
      <c r="L401" s="152"/>
      <c r="M401" s="152"/>
      <c r="N401" s="150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</row>
    <row r="402" customFormat="false" ht="11.25" hidden="false" customHeight="true" outlineLevel="0" collapsed="false">
      <c r="A402" s="89"/>
      <c r="B402" s="89"/>
      <c r="C402" s="89"/>
      <c r="D402" s="150"/>
      <c r="E402" s="89"/>
      <c r="F402" s="151"/>
      <c r="G402" s="151"/>
      <c r="H402" s="151"/>
      <c r="I402" s="151"/>
      <c r="J402" s="152"/>
      <c r="K402" s="152"/>
      <c r="L402" s="152"/>
      <c r="M402" s="152"/>
      <c r="N402" s="150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</row>
    <row r="403" customFormat="false" ht="11.25" hidden="false" customHeight="true" outlineLevel="0" collapsed="false">
      <c r="A403" s="89"/>
      <c r="B403" s="89"/>
      <c r="C403" s="89"/>
      <c r="D403" s="150"/>
      <c r="E403" s="89"/>
      <c r="F403" s="151"/>
      <c r="G403" s="151"/>
      <c r="H403" s="151"/>
      <c r="I403" s="151"/>
      <c r="J403" s="152"/>
      <c r="K403" s="152"/>
      <c r="L403" s="152"/>
      <c r="M403" s="152"/>
      <c r="N403" s="150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</row>
    <row r="404" customFormat="false" ht="11.25" hidden="false" customHeight="true" outlineLevel="0" collapsed="false">
      <c r="A404" s="89"/>
      <c r="B404" s="89"/>
      <c r="C404" s="89"/>
      <c r="D404" s="150"/>
      <c r="E404" s="89"/>
      <c r="F404" s="151"/>
      <c r="G404" s="151"/>
      <c r="H404" s="151"/>
      <c r="I404" s="151"/>
      <c r="J404" s="152"/>
      <c r="K404" s="152"/>
      <c r="L404" s="152"/>
      <c r="M404" s="152"/>
      <c r="N404" s="150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</row>
    <row r="405" customFormat="false" ht="11.25" hidden="false" customHeight="true" outlineLevel="0" collapsed="false">
      <c r="A405" s="89"/>
      <c r="B405" s="89"/>
      <c r="C405" s="89"/>
      <c r="D405" s="150"/>
      <c r="E405" s="89"/>
      <c r="F405" s="151"/>
      <c r="G405" s="151"/>
      <c r="H405" s="151"/>
      <c r="I405" s="151"/>
      <c r="J405" s="152"/>
      <c r="K405" s="152"/>
      <c r="L405" s="152"/>
      <c r="M405" s="152"/>
      <c r="N405" s="150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</row>
    <row r="406" customFormat="false" ht="11.25" hidden="false" customHeight="true" outlineLevel="0" collapsed="false">
      <c r="A406" s="89"/>
      <c r="B406" s="89"/>
      <c r="C406" s="89"/>
      <c r="D406" s="150"/>
      <c r="E406" s="89"/>
      <c r="F406" s="151"/>
      <c r="G406" s="151"/>
      <c r="H406" s="151"/>
      <c r="I406" s="151"/>
      <c r="J406" s="152"/>
      <c r="K406" s="152"/>
      <c r="L406" s="152"/>
      <c r="M406" s="152"/>
      <c r="N406" s="150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</row>
    <row r="407" customFormat="false" ht="11.25" hidden="false" customHeight="true" outlineLevel="0" collapsed="false">
      <c r="A407" s="89"/>
      <c r="B407" s="89"/>
      <c r="C407" s="89"/>
      <c r="D407" s="150"/>
      <c r="E407" s="89"/>
      <c r="F407" s="151"/>
      <c r="G407" s="151"/>
      <c r="H407" s="151"/>
      <c r="I407" s="151"/>
      <c r="J407" s="152"/>
      <c r="K407" s="152"/>
      <c r="L407" s="152"/>
      <c r="M407" s="152"/>
      <c r="N407" s="150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</row>
    <row r="408" customFormat="false" ht="11.25" hidden="false" customHeight="true" outlineLevel="0" collapsed="false">
      <c r="A408" s="89"/>
      <c r="B408" s="89"/>
      <c r="C408" s="89"/>
      <c r="D408" s="150"/>
      <c r="E408" s="89"/>
      <c r="F408" s="151"/>
      <c r="G408" s="151"/>
      <c r="H408" s="151"/>
      <c r="I408" s="151"/>
      <c r="J408" s="152"/>
      <c r="K408" s="152"/>
      <c r="L408" s="152"/>
      <c r="M408" s="152"/>
      <c r="N408" s="150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</row>
    <row r="409" customFormat="false" ht="11.25" hidden="false" customHeight="true" outlineLevel="0" collapsed="false">
      <c r="A409" s="89"/>
      <c r="B409" s="89"/>
      <c r="C409" s="89"/>
      <c r="D409" s="150"/>
      <c r="E409" s="89"/>
      <c r="F409" s="151"/>
      <c r="G409" s="151"/>
      <c r="H409" s="151"/>
      <c r="I409" s="151"/>
      <c r="J409" s="152"/>
      <c r="K409" s="152"/>
      <c r="L409" s="152"/>
      <c r="M409" s="152"/>
      <c r="N409" s="150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</row>
    <row r="410" customFormat="false" ht="11.25" hidden="false" customHeight="true" outlineLevel="0" collapsed="false">
      <c r="A410" s="89"/>
      <c r="B410" s="89"/>
      <c r="C410" s="89"/>
      <c r="D410" s="150"/>
      <c r="E410" s="89"/>
      <c r="F410" s="151"/>
      <c r="G410" s="151"/>
      <c r="H410" s="151"/>
      <c r="I410" s="151"/>
      <c r="J410" s="152"/>
      <c r="K410" s="152"/>
      <c r="L410" s="152"/>
      <c r="M410" s="152"/>
      <c r="N410" s="150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</row>
    <row r="411" customFormat="false" ht="11.25" hidden="false" customHeight="true" outlineLevel="0" collapsed="false">
      <c r="A411" s="89"/>
      <c r="B411" s="89"/>
      <c r="C411" s="89"/>
      <c r="D411" s="150"/>
      <c r="E411" s="89"/>
      <c r="F411" s="151"/>
      <c r="G411" s="151"/>
      <c r="H411" s="151"/>
      <c r="I411" s="151"/>
      <c r="J411" s="152"/>
      <c r="K411" s="152"/>
      <c r="L411" s="152"/>
      <c r="M411" s="152"/>
      <c r="N411" s="150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</row>
    <row r="412" customFormat="false" ht="11.25" hidden="false" customHeight="true" outlineLevel="0" collapsed="false">
      <c r="A412" s="89"/>
      <c r="B412" s="89"/>
      <c r="C412" s="89"/>
      <c r="D412" s="150"/>
      <c r="E412" s="89"/>
      <c r="F412" s="151"/>
      <c r="G412" s="151"/>
      <c r="H412" s="151"/>
      <c r="I412" s="151"/>
      <c r="J412" s="152"/>
      <c r="K412" s="152"/>
      <c r="L412" s="152"/>
      <c r="M412" s="152"/>
      <c r="N412" s="150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</row>
    <row r="413" customFormat="false" ht="11.25" hidden="false" customHeight="true" outlineLevel="0" collapsed="false">
      <c r="A413" s="89"/>
      <c r="B413" s="89"/>
      <c r="C413" s="89"/>
      <c r="D413" s="150"/>
      <c r="E413" s="89"/>
      <c r="F413" s="151"/>
      <c r="G413" s="151"/>
      <c r="H413" s="151"/>
      <c r="I413" s="151"/>
      <c r="J413" s="152"/>
      <c r="K413" s="152"/>
      <c r="L413" s="152"/>
      <c r="M413" s="152"/>
      <c r="N413" s="150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</row>
    <row r="414" customFormat="false" ht="11.25" hidden="false" customHeight="true" outlineLevel="0" collapsed="false">
      <c r="A414" s="89"/>
      <c r="B414" s="89"/>
      <c r="C414" s="89"/>
      <c r="D414" s="150"/>
      <c r="E414" s="89"/>
      <c r="F414" s="151"/>
      <c r="G414" s="151"/>
      <c r="H414" s="151"/>
      <c r="I414" s="151"/>
      <c r="J414" s="152"/>
      <c r="K414" s="152"/>
      <c r="L414" s="152"/>
      <c r="M414" s="152"/>
      <c r="N414" s="150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</row>
    <row r="415" customFormat="false" ht="11.25" hidden="false" customHeight="true" outlineLevel="0" collapsed="false">
      <c r="A415" s="89"/>
      <c r="B415" s="89"/>
      <c r="C415" s="89"/>
      <c r="D415" s="150"/>
      <c r="E415" s="89"/>
      <c r="F415" s="151"/>
      <c r="G415" s="151"/>
      <c r="H415" s="151"/>
      <c r="I415" s="151"/>
      <c r="J415" s="152"/>
      <c r="K415" s="152"/>
      <c r="L415" s="152"/>
      <c r="M415" s="152"/>
      <c r="N415" s="150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</row>
    <row r="416" customFormat="false" ht="11.25" hidden="false" customHeight="true" outlineLevel="0" collapsed="false">
      <c r="A416" s="89"/>
      <c r="B416" s="89"/>
      <c r="C416" s="89"/>
      <c r="D416" s="150"/>
      <c r="E416" s="89"/>
      <c r="F416" s="151"/>
      <c r="G416" s="151"/>
      <c r="H416" s="151"/>
      <c r="I416" s="151"/>
      <c r="J416" s="152"/>
      <c r="K416" s="152"/>
      <c r="L416" s="152"/>
      <c r="M416" s="152"/>
      <c r="N416" s="150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</row>
    <row r="417" customFormat="false" ht="11.25" hidden="false" customHeight="true" outlineLevel="0" collapsed="false">
      <c r="A417" s="89"/>
      <c r="B417" s="89"/>
      <c r="C417" s="89"/>
      <c r="D417" s="150"/>
      <c r="E417" s="89"/>
      <c r="F417" s="151"/>
      <c r="G417" s="151"/>
      <c r="H417" s="151"/>
      <c r="I417" s="151"/>
      <c r="J417" s="152"/>
      <c r="K417" s="152"/>
      <c r="L417" s="152"/>
      <c r="M417" s="152"/>
      <c r="N417" s="150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</row>
    <row r="418" customFormat="false" ht="11.25" hidden="false" customHeight="true" outlineLevel="0" collapsed="false">
      <c r="A418" s="89"/>
      <c r="B418" s="89"/>
      <c r="C418" s="89"/>
      <c r="D418" s="150"/>
      <c r="E418" s="89"/>
      <c r="F418" s="151"/>
      <c r="G418" s="151"/>
      <c r="H418" s="151"/>
      <c r="I418" s="151"/>
      <c r="J418" s="152"/>
      <c r="K418" s="152"/>
      <c r="L418" s="152"/>
      <c r="M418" s="152"/>
      <c r="N418" s="150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</row>
    <row r="419" customFormat="false" ht="11.25" hidden="false" customHeight="true" outlineLevel="0" collapsed="false">
      <c r="A419" s="89"/>
      <c r="B419" s="89"/>
      <c r="C419" s="89"/>
      <c r="D419" s="150"/>
      <c r="E419" s="89"/>
      <c r="F419" s="151"/>
      <c r="G419" s="151"/>
      <c r="H419" s="151"/>
      <c r="I419" s="151"/>
      <c r="J419" s="152"/>
      <c r="K419" s="152"/>
      <c r="L419" s="152"/>
      <c r="M419" s="152"/>
      <c r="N419" s="150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</row>
    <row r="420" customFormat="false" ht="11.25" hidden="false" customHeight="true" outlineLevel="0" collapsed="false">
      <c r="A420" s="89"/>
      <c r="B420" s="89"/>
      <c r="C420" s="89"/>
      <c r="D420" s="150"/>
      <c r="E420" s="89"/>
      <c r="F420" s="151"/>
      <c r="G420" s="151"/>
      <c r="H420" s="151"/>
      <c r="I420" s="151"/>
      <c r="J420" s="152"/>
      <c r="K420" s="152"/>
      <c r="L420" s="152"/>
      <c r="M420" s="152"/>
      <c r="N420" s="150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</row>
    <row r="421" customFormat="false" ht="11.25" hidden="false" customHeight="true" outlineLevel="0" collapsed="false">
      <c r="A421" s="89"/>
      <c r="B421" s="89"/>
      <c r="C421" s="89"/>
      <c r="D421" s="150"/>
      <c r="E421" s="89"/>
      <c r="F421" s="151"/>
      <c r="G421" s="151"/>
      <c r="H421" s="151"/>
      <c r="I421" s="151"/>
      <c r="J421" s="152"/>
      <c r="K421" s="152"/>
      <c r="L421" s="152"/>
      <c r="M421" s="152"/>
      <c r="N421" s="150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</row>
    <row r="422" customFormat="false" ht="11.25" hidden="false" customHeight="true" outlineLevel="0" collapsed="false">
      <c r="A422" s="89"/>
      <c r="B422" s="89"/>
      <c r="C422" s="89"/>
      <c r="D422" s="150"/>
      <c r="E422" s="89"/>
      <c r="F422" s="151"/>
      <c r="G422" s="151"/>
      <c r="H422" s="151"/>
      <c r="I422" s="151"/>
      <c r="J422" s="152"/>
      <c r="K422" s="152"/>
      <c r="L422" s="152"/>
      <c r="M422" s="152"/>
      <c r="N422" s="150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</row>
    <row r="423" customFormat="false" ht="11.25" hidden="false" customHeight="true" outlineLevel="0" collapsed="false">
      <c r="A423" s="89"/>
      <c r="B423" s="89"/>
      <c r="C423" s="89"/>
      <c r="D423" s="150"/>
      <c r="E423" s="89"/>
      <c r="F423" s="151"/>
      <c r="G423" s="151"/>
      <c r="H423" s="151"/>
      <c r="I423" s="151"/>
      <c r="J423" s="152"/>
      <c r="K423" s="152"/>
      <c r="L423" s="152"/>
      <c r="M423" s="152"/>
      <c r="N423" s="150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</row>
    <row r="424" customFormat="false" ht="11.25" hidden="false" customHeight="true" outlineLevel="0" collapsed="false">
      <c r="A424" s="89"/>
      <c r="B424" s="89"/>
      <c r="C424" s="89"/>
      <c r="D424" s="150"/>
      <c r="E424" s="89"/>
      <c r="F424" s="151"/>
      <c r="G424" s="151"/>
      <c r="H424" s="151"/>
      <c r="I424" s="151"/>
      <c r="J424" s="152"/>
      <c r="K424" s="152"/>
      <c r="L424" s="152"/>
      <c r="M424" s="152"/>
      <c r="N424" s="150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</row>
    <row r="425" customFormat="false" ht="11.25" hidden="false" customHeight="true" outlineLevel="0" collapsed="false">
      <c r="A425" s="89"/>
      <c r="B425" s="89"/>
      <c r="C425" s="89"/>
      <c r="D425" s="150"/>
      <c r="E425" s="89"/>
      <c r="F425" s="151"/>
      <c r="G425" s="151"/>
      <c r="H425" s="151"/>
      <c r="I425" s="151"/>
      <c r="J425" s="152"/>
      <c r="K425" s="152"/>
      <c r="L425" s="152"/>
      <c r="M425" s="152"/>
      <c r="N425" s="150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</row>
    <row r="426" customFormat="false" ht="11.25" hidden="false" customHeight="true" outlineLevel="0" collapsed="false">
      <c r="A426" s="89"/>
      <c r="B426" s="89"/>
      <c r="C426" s="89"/>
      <c r="D426" s="150"/>
      <c r="E426" s="89"/>
      <c r="F426" s="151"/>
      <c r="G426" s="151"/>
      <c r="H426" s="151"/>
      <c r="I426" s="151"/>
      <c r="J426" s="152"/>
      <c r="K426" s="152"/>
      <c r="L426" s="152"/>
      <c r="M426" s="152"/>
      <c r="N426" s="150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</row>
    <row r="427" customFormat="false" ht="11.25" hidden="false" customHeight="true" outlineLevel="0" collapsed="false">
      <c r="A427" s="89"/>
      <c r="B427" s="89"/>
      <c r="C427" s="89"/>
      <c r="D427" s="150"/>
      <c r="E427" s="89"/>
      <c r="F427" s="151"/>
      <c r="G427" s="151"/>
      <c r="H427" s="151"/>
      <c r="I427" s="151"/>
      <c r="J427" s="152"/>
      <c r="K427" s="152"/>
      <c r="L427" s="152"/>
      <c r="M427" s="152"/>
      <c r="N427" s="150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</row>
    <row r="428" customFormat="false" ht="11.25" hidden="false" customHeight="true" outlineLevel="0" collapsed="false">
      <c r="A428" s="89"/>
      <c r="B428" s="89"/>
      <c r="C428" s="89"/>
      <c r="D428" s="150"/>
      <c r="E428" s="89"/>
      <c r="F428" s="151"/>
      <c r="G428" s="151"/>
      <c r="H428" s="151"/>
      <c r="I428" s="151"/>
      <c r="J428" s="152"/>
      <c r="K428" s="152"/>
      <c r="L428" s="152"/>
      <c r="M428" s="152"/>
      <c r="N428" s="150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</row>
    <row r="429" customFormat="false" ht="11.25" hidden="false" customHeight="true" outlineLevel="0" collapsed="false">
      <c r="A429" s="89"/>
      <c r="B429" s="89"/>
      <c r="C429" s="89"/>
      <c r="D429" s="150"/>
      <c r="E429" s="89"/>
      <c r="F429" s="151"/>
      <c r="G429" s="151"/>
      <c r="H429" s="151"/>
      <c r="I429" s="151"/>
      <c r="J429" s="152"/>
      <c r="K429" s="152"/>
      <c r="L429" s="152"/>
      <c r="M429" s="152"/>
      <c r="N429" s="150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</row>
    <row r="430" customFormat="false" ht="11.25" hidden="false" customHeight="true" outlineLevel="0" collapsed="false">
      <c r="A430" s="89"/>
      <c r="B430" s="89"/>
      <c r="C430" s="89"/>
      <c r="D430" s="150"/>
      <c r="E430" s="89"/>
      <c r="F430" s="151"/>
      <c r="G430" s="151"/>
      <c r="H430" s="151"/>
      <c r="I430" s="151"/>
      <c r="J430" s="152"/>
      <c r="K430" s="152"/>
      <c r="L430" s="152"/>
      <c r="M430" s="152"/>
      <c r="N430" s="150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</row>
    <row r="431" customFormat="false" ht="11.25" hidden="false" customHeight="true" outlineLevel="0" collapsed="false">
      <c r="A431" s="89"/>
      <c r="B431" s="89"/>
      <c r="C431" s="89"/>
      <c r="D431" s="150"/>
      <c r="E431" s="89"/>
      <c r="F431" s="151"/>
      <c r="G431" s="151"/>
      <c r="H431" s="151"/>
      <c r="I431" s="151"/>
      <c r="J431" s="152"/>
      <c r="K431" s="152"/>
      <c r="L431" s="152"/>
      <c r="M431" s="152"/>
      <c r="N431" s="150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</row>
    <row r="432" customFormat="false" ht="11.25" hidden="false" customHeight="true" outlineLevel="0" collapsed="false">
      <c r="A432" s="89"/>
      <c r="B432" s="89"/>
      <c r="C432" s="89"/>
      <c r="D432" s="150"/>
      <c r="E432" s="89"/>
      <c r="F432" s="151"/>
      <c r="G432" s="151"/>
      <c r="H432" s="151"/>
      <c r="I432" s="151"/>
      <c r="J432" s="152"/>
      <c r="K432" s="152"/>
      <c r="L432" s="152"/>
      <c r="M432" s="152"/>
      <c r="N432" s="150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</row>
    <row r="433" customFormat="false" ht="11.25" hidden="false" customHeight="true" outlineLevel="0" collapsed="false">
      <c r="A433" s="89"/>
      <c r="B433" s="89"/>
      <c r="C433" s="89"/>
      <c r="D433" s="150"/>
      <c r="E433" s="89"/>
      <c r="F433" s="151"/>
      <c r="G433" s="151"/>
      <c r="H433" s="151"/>
      <c r="I433" s="151"/>
      <c r="J433" s="152"/>
      <c r="K433" s="152"/>
      <c r="L433" s="152"/>
      <c r="M433" s="152"/>
      <c r="N433" s="150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</row>
    <row r="434" customFormat="false" ht="11.25" hidden="false" customHeight="true" outlineLevel="0" collapsed="false">
      <c r="A434" s="89"/>
      <c r="B434" s="89"/>
      <c r="C434" s="89"/>
      <c r="D434" s="150"/>
      <c r="E434" s="89"/>
      <c r="F434" s="151"/>
      <c r="G434" s="151"/>
      <c r="H434" s="151"/>
      <c r="I434" s="151"/>
      <c r="J434" s="152"/>
      <c r="K434" s="152"/>
      <c r="L434" s="152"/>
      <c r="M434" s="152"/>
      <c r="N434" s="150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</row>
    <row r="435" customFormat="false" ht="11.25" hidden="false" customHeight="true" outlineLevel="0" collapsed="false">
      <c r="A435" s="89"/>
      <c r="B435" s="89"/>
      <c r="C435" s="89"/>
      <c r="D435" s="150"/>
      <c r="E435" s="89"/>
      <c r="F435" s="151"/>
      <c r="G435" s="151"/>
      <c r="H435" s="151"/>
      <c r="I435" s="151"/>
      <c r="J435" s="152"/>
      <c r="K435" s="152"/>
      <c r="L435" s="152"/>
      <c r="M435" s="152"/>
      <c r="N435" s="150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</row>
    <row r="436" customFormat="false" ht="11.25" hidden="false" customHeight="true" outlineLevel="0" collapsed="false">
      <c r="A436" s="89"/>
      <c r="B436" s="89"/>
      <c r="C436" s="89"/>
      <c r="D436" s="150"/>
      <c r="E436" s="89"/>
      <c r="F436" s="151"/>
      <c r="G436" s="151"/>
      <c r="H436" s="151"/>
      <c r="I436" s="151"/>
      <c r="J436" s="152"/>
      <c r="K436" s="152"/>
      <c r="L436" s="152"/>
      <c r="M436" s="152"/>
      <c r="N436" s="150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</row>
    <row r="437" customFormat="false" ht="11.25" hidden="false" customHeight="true" outlineLevel="0" collapsed="false">
      <c r="A437" s="89"/>
      <c r="B437" s="89"/>
      <c r="C437" s="89"/>
      <c r="D437" s="150"/>
      <c r="E437" s="89"/>
      <c r="F437" s="151"/>
      <c r="G437" s="151"/>
      <c r="H437" s="151"/>
      <c r="I437" s="151"/>
      <c r="J437" s="152"/>
      <c r="K437" s="152"/>
      <c r="L437" s="152"/>
      <c r="M437" s="152"/>
      <c r="N437" s="150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</row>
    <row r="438" customFormat="false" ht="11.25" hidden="false" customHeight="true" outlineLevel="0" collapsed="false">
      <c r="A438" s="89"/>
      <c r="B438" s="89"/>
      <c r="C438" s="89"/>
      <c r="D438" s="150"/>
      <c r="E438" s="89"/>
      <c r="F438" s="151"/>
      <c r="G438" s="151"/>
      <c r="H438" s="151"/>
      <c r="I438" s="151"/>
      <c r="J438" s="152"/>
      <c r="K438" s="152"/>
      <c r="L438" s="152"/>
      <c r="M438" s="152"/>
      <c r="N438" s="150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</row>
    <row r="439" customFormat="false" ht="11.25" hidden="false" customHeight="true" outlineLevel="0" collapsed="false">
      <c r="A439" s="89"/>
      <c r="B439" s="89"/>
      <c r="C439" s="89"/>
      <c r="D439" s="150"/>
      <c r="E439" s="89"/>
      <c r="F439" s="151"/>
      <c r="G439" s="151"/>
      <c r="H439" s="151"/>
      <c r="I439" s="151"/>
      <c r="J439" s="152"/>
      <c r="K439" s="152"/>
      <c r="L439" s="152"/>
      <c r="M439" s="152"/>
      <c r="N439" s="150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</row>
    <row r="440" customFormat="false" ht="11.25" hidden="false" customHeight="true" outlineLevel="0" collapsed="false">
      <c r="A440" s="89"/>
      <c r="B440" s="89"/>
      <c r="C440" s="89"/>
      <c r="D440" s="150"/>
      <c r="E440" s="89"/>
      <c r="F440" s="151"/>
      <c r="G440" s="151"/>
      <c r="H440" s="151"/>
      <c r="I440" s="151"/>
      <c r="J440" s="152"/>
      <c r="K440" s="152"/>
      <c r="L440" s="152"/>
      <c r="M440" s="152"/>
      <c r="N440" s="150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</row>
    <row r="441" customFormat="false" ht="11.25" hidden="false" customHeight="true" outlineLevel="0" collapsed="false">
      <c r="A441" s="89"/>
      <c r="B441" s="89"/>
      <c r="C441" s="89"/>
      <c r="D441" s="150"/>
      <c r="E441" s="89"/>
      <c r="F441" s="151"/>
      <c r="G441" s="151"/>
      <c r="H441" s="151"/>
      <c r="I441" s="151"/>
      <c r="J441" s="152"/>
      <c r="K441" s="152"/>
      <c r="L441" s="152"/>
      <c r="M441" s="152"/>
      <c r="N441" s="150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</row>
    <row r="442" customFormat="false" ht="11.25" hidden="false" customHeight="true" outlineLevel="0" collapsed="false">
      <c r="A442" s="89"/>
      <c r="B442" s="89"/>
      <c r="C442" s="89"/>
      <c r="D442" s="150"/>
      <c r="E442" s="89"/>
      <c r="F442" s="151"/>
      <c r="G442" s="151"/>
      <c r="H442" s="151"/>
      <c r="I442" s="151"/>
      <c r="J442" s="152"/>
      <c r="K442" s="152"/>
      <c r="L442" s="152"/>
      <c r="M442" s="152"/>
      <c r="N442" s="150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</row>
    <row r="443" customFormat="false" ht="11.25" hidden="false" customHeight="true" outlineLevel="0" collapsed="false">
      <c r="A443" s="89"/>
      <c r="B443" s="89"/>
      <c r="C443" s="89"/>
      <c r="D443" s="150"/>
      <c r="E443" s="89"/>
      <c r="F443" s="151"/>
      <c r="G443" s="151"/>
      <c r="H443" s="151"/>
      <c r="I443" s="151"/>
      <c r="J443" s="152"/>
      <c r="K443" s="152"/>
      <c r="L443" s="152"/>
      <c r="M443" s="152"/>
      <c r="N443" s="150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</row>
    <row r="444" customFormat="false" ht="11.25" hidden="false" customHeight="true" outlineLevel="0" collapsed="false">
      <c r="A444" s="89"/>
      <c r="B444" s="89"/>
      <c r="C444" s="89"/>
      <c r="D444" s="150"/>
      <c r="E444" s="89"/>
      <c r="F444" s="151"/>
      <c r="G444" s="151"/>
      <c r="H444" s="151"/>
      <c r="I444" s="151"/>
      <c r="J444" s="152"/>
      <c r="K444" s="152"/>
      <c r="L444" s="152"/>
      <c r="M444" s="152"/>
      <c r="N444" s="150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</row>
    <row r="445" customFormat="false" ht="11.25" hidden="false" customHeight="true" outlineLevel="0" collapsed="false">
      <c r="A445" s="89"/>
      <c r="B445" s="89"/>
      <c r="C445" s="89"/>
      <c r="D445" s="150"/>
      <c r="E445" s="89"/>
      <c r="F445" s="151"/>
      <c r="G445" s="151"/>
      <c r="H445" s="151"/>
      <c r="I445" s="151"/>
      <c r="J445" s="152"/>
      <c r="K445" s="152"/>
      <c r="L445" s="152"/>
      <c r="M445" s="152"/>
      <c r="N445" s="150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</row>
    <row r="446" customFormat="false" ht="11.25" hidden="false" customHeight="true" outlineLevel="0" collapsed="false">
      <c r="A446" s="89"/>
      <c r="B446" s="89"/>
      <c r="C446" s="89"/>
      <c r="D446" s="150"/>
      <c r="E446" s="89"/>
      <c r="F446" s="151"/>
      <c r="G446" s="151"/>
      <c r="H446" s="151"/>
      <c r="I446" s="151"/>
      <c r="J446" s="152"/>
      <c r="K446" s="152"/>
      <c r="L446" s="152"/>
      <c r="M446" s="152"/>
      <c r="N446" s="150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</row>
    <row r="447" customFormat="false" ht="11.25" hidden="false" customHeight="true" outlineLevel="0" collapsed="false">
      <c r="A447" s="89"/>
      <c r="B447" s="89"/>
      <c r="C447" s="89"/>
      <c r="D447" s="150"/>
      <c r="E447" s="89"/>
      <c r="F447" s="151"/>
      <c r="G447" s="151"/>
      <c r="H447" s="151"/>
      <c r="I447" s="151"/>
      <c r="J447" s="152"/>
      <c r="K447" s="152"/>
      <c r="L447" s="152"/>
      <c r="M447" s="152"/>
      <c r="N447" s="150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</row>
    <row r="448" customFormat="false" ht="11.25" hidden="false" customHeight="true" outlineLevel="0" collapsed="false">
      <c r="A448" s="89"/>
      <c r="B448" s="89"/>
      <c r="C448" s="89"/>
      <c r="D448" s="150"/>
      <c r="E448" s="89"/>
      <c r="F448" s="151"/>
      <c r="G448" s="151"/>
      <c r="H448" s="151"/>
      <c r="I448" s="151"/>
      <c r="J448" s="152"/>
      <c r="K448" s="152"/>
      <c r="L448" s="152"/>
      <c r="M448" s="152"/>
      <c r="N448" s="150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</row>
    <row r="449" customFormat="false" ht="11.25" hidden="false" customHeight="true" outlineLevel="0" collapsed="false">
      <c r="A449" s="89"/>
      <c r="B449" s="89"/>
      <c r="C449" s="89"/>
      <c r="D449" s="150"/>
      <c r="E449" s="89"/>
      <c r="F449" s="151"/>
      <c r="G449" s="151"/>
      <c r="H449" s="151"/>
      <c r="I449" s="151"/>
      <c r="J449" s="152"/>
      <c r="K449" s="152"/>
      <c r="L449" s="152"/>
      <c r="M449" s="152"/>
      <c r="N449" s="150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</row>
    <row r="450" customFormat="false" ht="11.25" hidden="false" customHeight="true" outlineLevel="0" collapsed="false">
      <c r="A450" s="89"/>
      <c r="B450" s="89"/>
      <c r="C450" s="89"/>
      <c r="D450" s="150"/>
      <c r="E450" s="89"/>
      <c r="F450" s="151"/>
      <c r="G450" s="151"/>
      <c r="H450" s="151"/>
      <c r="I450" s="151"/>
      <c r="J450" s="152"/>
      <c r="K450" s="152"/>
      <c r="L450" s="152"/>
      <c r="M450" s="152"/>
      <c r="N450" s="150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</row>
    <row r="451" customFormat="false" ht="11.25" hidden="false" customHeight="true" outlineLevel="0" collapsed="false">
      <c r="A451" s="89"/>
      <c r="B451" s="89"/>
      <c r="C451" s="89"/>
      <c r="D451" s="150"/>
      <c r="E451" s="89"/>
      <c r="F451" s="151"/>
      <c r="G451" s="151"/>
      <c r="H451" s="151"/>
      <c r="I451" s="151"/>
      <c r="J451" s="152"/>
      <c r="K451" s="152"/>
      <c r="L451" s="152"/>
      <c r="M451" s="152"/>
      <c r="N451" s="150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</row>
    <row r="452" customFormat="false" ht="11.25" hidden="false" customHeight="true" outlineLevel="0" collapsed="false">
      <c r="A452" s="89"/>
      <c r="B452" s="89"/>
      <c r="C452" s="89"/>
      <c r="D452" s="150"/>
      <c r="E452" s="89"/>
      <c r="F452" s="151"/>
      <c r="G452" s="151"/>
      <c r="H452" s="151"/>
      <c r="I452" s="151"/>
      <c r="J452" s="152"/>
      <c r="K452" s="152"/>
      <c r="L452" s="152"/>
      <c r="M452" s="152"/>
      <c r="N452" s="150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</row>
    <row r="453" customFormat="false" ht="11.25" hidden="false" customHeight="true" outlineLevel="0" collapsed="false">
      <c r="A453" s="89"/>
      <c r="B453" s="89"/>
      <c r="C453" s="89"/>
      <c r="D453" s="150"/>
      <c r="E453" s="89"/>
      <c r="F453" s="151"/>
      <c r="G453" s="151"/>
      <c r="H453" s="151"/>
      <c r="I453" s="151"/>
      <c r="J453" s="152"/>
      <c r="K453" s="152"/>
      <c r="L453" s="152"/>
      <c r="M453" s="152"/>
      <c r="N453" s="150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</row>
    <row r="454" customFormat="false" ht="11.25" hidden="false" customHeight="true" outlineLevel="0" collapsed="false">
      <c r="A454" s="89"/>
      <c r="B454" s="89"/>
      <c r="C454" s="89"/>
      <c r="D454" s="150"/>
      <c r="E454" s="89"/>
      <c r="F454" s="151"/>
      <c r="G454" s="151"/>
      <c r="H454" s="151"/>
      <c r="I454" s="151"/>
      <c r="J454" s="152"/>
      <c r="K454" s="152"/>
      <c r="L454" s="152"/>
      <c r="M454" s="152"/>
      <c r="N454" s="150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</row>
    <row r="455" customFormat="false" ht="11.25" hidden="false" customHeight="true" outlineLevel="0" collapsed="false">
      <c r="A455" s="89"/>
      <c r="B455" s="89"/>
      <c r="C455" s="89"/>
      <c r="D455" s="150"/>
      <c r="E455" s="89"/>
      <c r="F455" s="151"/>
      <c r="G455" s="151"/>
      <c r="H455" s="151"/>
      <c r="I455" s="151"/>
      <c r="J455" s="152"/>
      <c r="K455" s="152"/>
      <c r="L455" s="152"/>
      <c r="M455" s="152"/>
      <c r="N455" s="150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</row>
    <row r="456" customFormat="false" ht="11.25" hidden="false" customHeight="true" outlineLevel="0" collapsed="false">
      <c r="A456" s="89"/>
      <c r="B456" s="89"/>
      <c r="C456" s="89"/>
      <c r="D456" s="150"/>
      <c r="E456" s="89"/>
      <c r="F456" s="151"/>
      <c r="G456" s="151"/>
      <c r="H456" s="151"/>
      <c r="I456" s="151"/>
      <c r="J456" s="152"/>
      <c r="K456" s="152"/>
      <c r="L456" s="152"/>
      <c r="M456" s="152"/>
      <c r="N456" s="150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</row>
    <row r="457" customFormat="false" ht="11.25" hidden="false" customHeight="true" outlineLevel="0" collapsed="false">
      <c r="A457" s="89"/>
      <c r="B457" s="89"/>
      <c r="C457" s="89"/>
      <c r="D457" s="150"/>
      <c r="E457" s="89"/>
      <c r="F457" s="151"/>
      <c r="G457" s="151"/>
      <c r="H457" s="151"/>
      <c r="I457" s="151"/>
      <c r="J457" s="152"/>
      <c r="K457" s="152"/>
      <c r="L457" s="152"/>
      <c r="M457" s="152"/>
      <c r="N457" s="150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</row>
    <row r="458" customFormat="false" ht="11.25" hidden="false" customHeight="true" outlineLevel="0" collapsed="false">
      <c r="A458" s="89"/>
      <c r="B458" s="89"/>
      <c r="C458" s="89"/>
      <c r="D458" s="150"/>
      <c r="E458" s="89"/>
      <c r="F458" s="151"/>
      <c r="G458" s="151"/>
      <c r="H458" s="151"/>
      <c r="I458" s="151"/>
      <c r="J458" s="152"/>
      <c r="K458" s="152"/>
      <c r="L458" s="152"/>
      <c r="M458" s="152"/>
      <c r="N458" s="150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</row>
    <row r="459" customFormat="false" ht="11.25" hidden="false" customHeight="true" outlineLevel="0" collapsed="false">
      <c r="A459" s="89"/>
      <c r="B459" s="89"/>
      <c r="C459" s="89"/>
      <c r="D459" s="150"/>
      <c r="E459" s="89"/>
      <c r="F459" s="151"/>
      <c r="G459" s="151"/>
      <c r="H459" s="151"/>
      <c r="I459" s="151"/>
      <c r="J459" s="152"/>
      <c r="K459" s="152"/>
      <c r="L459" s="152"/>
      <c r="M459" s="152"/>
      <c r="N459" s="150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</row>
    <row r="460" customFormat="false" ht="11.25" hidden="false" customHeight="true" outlineLevel="0" collapsed="false">
      <c r="A460" s="89"/>
      <c r="B460" s="89"/>
      <c r="C460" s="89"/>
      <c r="D460" s="150"/>
      <c r="E460" s="89"/>
      <c r="F460" s="151"/>
      <c r="G460" s="151"/>
      <c r="H460" s="151"/>
      <c r="I460" s="151"/>
      <c r="J460" s="152"/>
      <c r="K460" s="152"/>
      <c r="L460" s="152"/>
      <c r="M460" s="152"/>
      <c r="N460" s="150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</row>
    <row r="461" customFormat="false" ht="11.25" hidden="false" customHeight="true" outlineLevel="0" collapsed="false">
      <c r="A461" s="89"/>
      <c r="B461" s="89"/>
      <c r="C461" s="89"/>
      <c r="D461" s="150"/>
      <c r="E461" s="89"/>
      <c r="F461" s="151"/>
      <c r="G461" s="151"/>
      <c r="H461" s="151"/>
      <c r="I461" s="151"/>
      <c r="J461" s="152"/>
      <c r="K461" s="152"/>
      <c r="L461" s="152"/>
      <c r="M461" s="152"/>
      <c r="N461" s="150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</row>
    <row r="462" customFormat="false" ht="11.25" hidden="false" customHeight="true" outlineLevel="0" collapsed="false">
      <c r="A462" s="89"/>
      <c r="B462" s="89"/>
      <c r="C462" s="89"/>
      <c r="D462" s="150"/>
      <c r="E462" s="89"/>
      <c r="F462" s="151"/>
      <c r="G462" s="151"/>
      <c r="H462" s="151"/>
      <c r="I462" s="151"/>
      <c r="J462" s="152"/>
      <c r="K462" s="152"/>
      <c r="L462" s="152"/>
      <c r="M462" s="152"/>
      <c r="N462" s="150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</row>
    <row r="463" customFormat="false" ht="11.25" hidden="false" customHeight="true" outlineLevel="0" collapsed="false">
      <c r="A463" s="89"/>
      <c r="B463" s="89"/>
      <c r="C463" s="89"/>
      <c r="D463" s="150"/>
      <c r="E463" s="89"/>
      <c r="F463" s="151"/>
      <c r="G463" s="151"/>
      <c r="H463" s="151"/>
      <c r="I463" s="151"/>
      <c r="J463" s="152"/>
      <c r="K463" s="152"/>
      <c r="L463" s="152"/>
      <c r="M463" s="152"/>
      <c r="N463" s="150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</row>
    <row r="464" customFormat="false" ht="11.25" hidden="false" customHeight="true" outlineLevel="0" collapsed="false">
      <c r="A464" s="89"/>
      <c r="B464" s="89"/>
      <c r="C464" s="89"/>
      <c r="D464" s="150"/>
      <c r="E464" s="89"/>
      <c r="F464" s="151"/>
      <c r="G464" s="151"/>
      <c r="H464" s="151"/>
      <c r="I464" s="151"/>
      <c r="J464" s="152"/>
      <c r="K464" s="152"/>
      <c r="L464" s="152"/>
      <c r="M464" s="152"/>
      <c r="N464" s="150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</row>
    <row r="465" customFormat="false" ht="11.25" hidden="false" customHeight="true" outlineLevel="0" collapsed="false">
      <c r="A465" s="89"/>
      <c r="B465" s="89"/>
      <c r="C465" s="89"/>
      <c r="D465" s="150"/>
      <c r="E465" s="89"/>
      <c r="F465" s="151"/>
      <c r="G465" s="151"/>
      <c r="H465" s="151"/>
      <c r="I465" s="151"/>
      <c r="J465" s="152"/>
      <c r="K465" s="152"/>
      <c r="L465" s="152"/>
      <c r="M465" s="152"/>
      <c r="N465" s="150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</row>
    <row r="466" customFormat="false" ht="11.25" hidden="false" customHeight="true" outlineLevel="0" collapsed="false">
      <c r="A466" s="89"/>
      <c r="B466" s="89"/>
      <c r="C466" s="89"/>
      <c r="D466" s="150"/>
      <c r="E466" s="89"/>
      <c r="F466" s="151"/>
      <c r="G466" s="151"/>
      <c r="H466" s="151"/>
      <c r="I466" s="151"/>
      <c r="J466" s="152"/>
      <c r="K466" s="152"/>
      <c r="L466" s="152"/>
      <c r="M466" s="152"/>
      <c r="N466" s="150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</row>
    <row r="467" customFormat="false" ht="11.25" hidden="false" customHeight="true" outlineLevel="0" collapsed="false">
      <c r="A467" s="89"/>
      <c r="B467" s="89"/>
      <c r="C467" s="89"/>
      <c r="D467" s="150"/>
      <c r="E467" s="89"/>
      <c r="F467" s="151"/>
      <c r="G467" s="151"/>
      <c r="H467" s="151"/>
      <c r="I467" s="151"/>
      <c r="J467" s="152"/>
      <c r="K467" s="152"/>
      <c r="L467" s="152"/>
      <c r="M467" s="152"/>
      <c r="N467" s="150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</row>
    <row r="468" customFormat="false" ht="11.25" hidden="false" customHeight="true" outlineLevel="0" collapsed="false">
      <c r="A468" s="89"/>
      <c r="B468" s="89"/>
      <c r="C468" s="89"/>
      <c r="D468" s="150"/>
      <c r="E468" s="89"/>
      <c r="F468" s="151"/>
      <c r="G468" s="151"/>
      <c r="H468" s="151"/>
      <c r="I468" s="151"/>
      <c r="J468" s="152"/>
      <c r="K468" s="152"/>
      <c r="L468" s="152"/>
      <c r="M468" s="152"/>
      <c r="N468" s="150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</row>
    <row r="469" customFormat="false" ht="11.25" hidden="false" customHeight="true" outlineLevel="0" collapsed="false">
      <c r="A469" s="89"/>
      <c r="B469" s="89"/>
      <c r="C469" s="89"/>
      <c r="D469" s="150"/>
      <c r="E469" s="89"/>
      <c r="F469" s="151"/>
      <c r="G469" s="151"/>
      <c r="H469" s="151"/>
      <c r="I469" s="151"/>
      <c r="J469" s="152"/>
      <c r="K469" s="152"/>
      <c r="L469" s="152"/>
      <c r="M469" s="152"/>
      <c r="N469" s="150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</row>
    <row r="470" customFormat="false" ht="11.25" hidden="false" customHeight="true" outlineLevel="0" collapsed="false">
      <c r="A470" s="89"/>
      <c r="B470" s="89"/>
      <c r="C470" s="89"/>
      <c r="D470" s="150"/>
      <c r="E470" s="89"/>
      <c r="F470" s="151"/>
      <c r="G470" s="151"/>
      <c r="H470" s="151"/>
      <c r="I470" s="151"/>
      <c r="J470" s="152"/>
      <c r="K470" s="152"/>
      <c r="L470" s="152"/>
      <c r="M470" s="152"/>
      <c r="N470" s="150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</row>
    <row r="471" customFormat="false" ht="11.25" hidden="false" customHeight="true" outlineLevel="0" collapsed="false">
      <c r="A471" s="89"/>
      <c r="B471" s="89"/>
      <c r="C471" s="89"/>
      <c r="D471" s="150"/>
      <c r="E471" s="89"/>
      <c r="F471" s="151"/>
      <c r="G471" s="151"/>
      <c r="H471" s="151"/>
      <c r="I471" s="151"/>
      <c r="J471" s="152"/>
      <c r="K471" s="152"/>
      <c r="L471" s="152"/>
      <c r="M471" s="152"/>
      <c r="N471" s="150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</row>
    <row r="472" customFormat="false" ht="11.25" hidden="false" customHeight="true" outlineLevel="0" collapsed="false">
      <c r="A472" s="89"/>
      <c r="B472" s="89"/>
      <c r="C472" s="89"/>
      <c r="D472" s="150"/>
      <c r="E472" s="89"/>
      <c r="F472" s="151"/>
      <c r="G472" s="151"/>
      <c r="H472" s="151"/>
      <c r="I472" s="151"/>
      <c r="J472" s="152"/>
      <c r="K472" s="152"/>
      <c r="L472" s="152"/>
      <c r="M472" s="152"/>
      <c r="N472" s="150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</row>
    <row r="473" customFormat="false" ht="11.25" hidden="false" customHeight="true" outlineLevel="0" collapsed="false">
      <c r="A473" s="89"/>
      <c r="B473" s="89"/>
      <c r="C473" s="89"/>
      <c r="D473" s="150"/>
      <c r="E473" s="89"/>
      <c r="F473" s="151"/>
      <c r="G473" s="151"/>
      <c r="H473" s="151"/>
      <c r="I473" s="151"/>
      <c r="J473" s="152"/>
      <c r="K473" s="152"/>
      <c r="L473" s="152"/>
      <c r="M473" s="152"/>
      <c r="N473" s="150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</row>
    <row r="474" customFormat="false" ht="11.25" hidden="false" customHeight="true" outlineLevel="0" collapsed="false">
      <c r="A474" s="89"/>
      <c r="B474" s="89"/>
      <c r="C474" s="89"/>
      <c r="D474" s="150"/>
      <c r="E474" s="89"/>
      <c r="F474" s="151"/>
      <c r="G474" s="151"/>
      <c r="H474" s="151"/>
      <c r="I474" s="151"/>
      <c r="J474" s="152"/>
      <c r="K474" s="152"/>
      <c r="L474" s="152"/>
      <c r="M474" s="152"/>
      <c r="N474" s="150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</row>
    <row r="475" customFormat="false" ht="11.25" hidden="false" customHeight="true" outlineLevel="0" collapsed="false">
      <c r="A475" s="89"/>
      <c r="B475" s="89"/>
      <c r="C475" s="89"/>
      <c r="D475" s="150"/>
      <c r="E475" s="89"/>
      <c r="F475" s="151"/>
      <c r="G475" s="151"/>
      <c r="H475" s="151"/>
      <c r="I475" s="151"/>
      <c r="J475" s="152"/>
      <c r="K475" s="152"/>
      <c r="L475" s="152"/>
      <c r="M475" s="152"/>
      <c r="N475" s="150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</row>
    <row r="476" customFormat="false" ht="11.25" hidden="false" customHeight="true" outlineLevel="0" collapsed="false">
      <c r="A476" s="89"/>
      <c r="B476" s="89"/>
      <c r="C476" s="89"/>
      <c r="D476" s="150"/>
      <c r="E476" s="89"/>
      <c r="F476" s="151"/>
      <c r="G476" s="151"/>
      <c r="H476" s="151"/>
      <c r="I476" s="151"/>
      <c r="J476" s="152"/>
      <c r="K476" s="152"/>
      <c r="L476" s="152"/>
      <c r="M476" s="152"/>
      <c r="N476" s="150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</row>
    <row r="477" customFormat="false" ht="11.25" hidden="false" customHeight="true" outlineLevel="0" collapsed="false">
      <c r="A477" s="89"/>
      <c r="B477" s="89"/>
      <c r="C477" s="89"/>
      <c r="D477" s="150"/>
      <c r="E477" s="89"/>
      <c r="F477" s="151"/>
      <c r="G477" s="151"/>
      <c r="H477" s="151"/>
      <c r="I477" s="151"/>
      <c r="J477" s="152"/>
      <c r="K477" s="152"/>
      <c r="L477" s="152"/>
      <c r="M477" s="152"/>
      <c r="N477" s="150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</row>
    <row r="478" customFormat="false" ht="11.25" hidden="false" customHeight="true" outlineLevel="0" collapsed="false">
      <c r="A478" s="89"/>
      <c r="B478" s="89"/>
      <c r="C478" s="89"/>
      <c r="D478" s="150"/>
      <c r="E478" s="89"/>
      <c r="F478" s="151"/>
      <c r="G478" s="151"/>
      <c r="H478" s="151"/>
      <c r="I478" s="151"/>
      <c r="J478" s="152"/>
      <c r="K478" s="152"/>
      <c r="L478" s="152"/>
      <c r="M478" s="152"/>
      <c r="N478" s="150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</row>
    <row r="479" customFormat="false" ht="11.25" hidden="false" customHeight="true" outlineLevel="0" collapsed="false">
      <c r="A479" s="89"/>
      <c r="B479" s="89"/>
      <c r="C479" s="89"/>
      <c r="D479" s="150"/>
      <c r="E479" s="89"/>
      <c r="F479" s="151"/>
      <c r="G479" s="151"/>
      <c r="H479" s="151"/>
      <c r="I479" s="151"/>
      <c r="J479" s="152"/>
      <c r="K479" s="152"/>
      <c r="L479" s="152"/>
      <c r="M479" s="152"/>
      <c r="N479" s="150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</row>
    <row r="480" customFormat="false" ht="11.25" hidden="false" customHeight="true" outlineLevel="0" collapsed="false">
      <c r="A480" s="89"/>
      <c r="B480" s="89"/>
      <c r="C480" s="89"/>
      <c r="D480" s="150"/>
      <c r="E480" s="89"/>
      <c r="F480" s="151"/>
      <c r="G480" s="151"/>
      <c r="H480" s="151"/>
      <c r="I480" s="151"/>
      <c r="J480" s="152"/>
      <c r="K480" s="152"/>
      <c r="L480" s="152"/>
      <c r="M480" s="152"/>
      <c r="N480" s="150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</row>
    <row r="481" customFormat="false" ht="11.25" hidden="false" customHeight="true" outlineLevel="0" collapsed="false">
      <c r="A481" s="89"/>
      <c r="B481" s="89"/>
      <c r="C481" s="89"/>
      <c r="D481" s="150"/>
      <c r="E481" s="89"/>
      <c r="F481" s="151"/>
      <c r="G481" s="151"/>
      <c r="H481" s="151"/>
      <c r="I481" s="151"/>
      <c r="J481" s="152"/>
      <c r="K481" s="152"/>
      <c r="L481" s="152"/>
      <c r="M481" s="152"/>
      <c r="N481" s="150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</row>
    <row r="482" customFormat="false" ht="11.25" hidden="false" customHeight="true" outlineLevel="0" collapsed="false">
      <c r="A482" s="89"/>
      <c r="B482" s="89"/>
      <c r="C482" s="89"/>
      <c r="D482" s="150"/>
      <c r="E482" s="89"/>
      <c r="F482" s="151"/>
      <c r="G482" s="151"/>
      <c r="H482" s="151"/>
      <c r="I482" s="151"/>
      <c r="J482" s="152"/>
      <c r="K482" s="152"/>
      <c r="L482" s="152"/>
      <c r="M482" s="152"/>
      <c r="N482" s="150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</row>
    <row r="483" customFormat="false" ht="11.25" hidden="false" customHeight="true" outlineLevel="0" collapsed="false">
      <c r="A483" s="89"/>
      <c r="B483" s="89"/>
      <c r="C483" s="89"/>
      <c r="D483" s="150"/>
      <c r="E483" s="89"/>
      <c r="F483" s="151"/>
      <c r="G483" s="151"/>
      <c r="H483" s="151"/>
      <c r="I483" s="151"/>
      <c r="J483" s="152"/>
      <c r="K483" s="152"/>
      <c r="L483" s="152"/>
      <c r="M483" s="152"/>
      <c r="N483" s="150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</row>
    <row r="484" customFormat="false" ht="11.25" hidden="false" customHeight="true" outlineLevel="0" collapsed="false">
      <c r="A484" s="89"/>
      <c r="B484" s="89"/>
      <c r="C484" s="89"/>
      <c r="D484" s="150"/>
      <c r="E484" s="89"/>
      <c r="F484" s="151"/>
      <c r="G484" s="151"/>
      <c r="H484" s="151"/>
      <c r="I484" s="151"/>
      <c r="J484" s="152"/>
      <c r="K484" s="152"/>
      <c r="L484" s="152"/>
      <c r="M484" s="152"/>
      <c r="N484" s="150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</row>
    <row r="485" customFormat="false" ht="11.25" hidden="false" customHeight="true" outlineLevel="0" collapsed="false">
      <c r="A485" s="89"/>
      <c r="B485" s="89"/>
      <c r="C485" s="89"/>
      <c r="D485" s="150"/>
      <c r="E485" s="89"/>
      <c r="F485" s="151"/>
      <c r="G485" s="151"/>
      <c r="H485" s="151"/>
      <c r="I485" s="151"/>
      <c r="J485" s="152"/>
      <c r="K485" s="152"/>
      <c r="L485" s="152"/>
      <c r="M485" s="152"/>
      <c r="N485" s="150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</row>
    <row r="486" customFormat="false" ht="11.25" hidden="false" customHeight="true" outlineLevel="0" collapsed="false">
      <c r="A486" s="89"/>
      <c r="B486" s="89"/>
      <c r="C486" s="89"/>
      <c r="D486" s="150"/>
      <c r="E486" s="89"/>
      <c r="F486" s="151"/>
      <c r="G486" s="151"/>
      <c r="H486" s="151"/>
      <c r="I486" s="151"/>
      <c r="J486" s="152"/>
      <c r="K486" s="152"/>
      <c r="L486" s="152"/>
      <c r="M486" s="152"/>
      <c r="N486" s="150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</row>
    <row r="487" customFormat="false" ht="11.25" hidden="false" customHeight="true" outlineLevel="0" collapsed="false">
      <c r="A487" s="89"/>
      <c r="B487" s="89"/>
      <c r="C487" s="89"/>
      <c r="D487" s="150"/>
      <c r="E487" s="89"/>
      <c r="F487" s="151"/>
      <c r="G487" s="151"/>
      <c r="H487" s="151"/>
      <c r="I487" s="151"/>
      <c r="J487" s="152"/>
      <c r="K487" s="152"/>
      <c r="L487" s="152"/>
      <c r="M487" s="152"/>
      <c r="N487" s="150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</row>
    <row r="488" customFormat="false" ht="11.25" hidden="false" customHeight="true" outlineLevel="0" collapsed="false">
      <c r="A488" s="89"/>
      <c r="B488" s="89"/>
      <c r="C488" s="89"/>
      <c r="D488" s="150"/>
      <c r="E488" s="89"/>
      <c r="F488" s="151"/>
      <c r="G488" s="151"/>
      <c r="H488" s="151"/>
      <c r="I488" s="151"/>
      <c r="J488" s="152"/>
      <c r="K488" s="152"/>
      <c r="L488" s="152"/>
      <c r="M488" s="152"/>
      <c r="N488" s="150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</row>
    <row r="489" customFormat="false" ht="11.25" hidden="false" customHeight="true" outlineLevel="0" collapsed="false">
      <c r="A489" s="89"/>
      <c r="B489" s="89"/>
      <c r="C489" s="89"/>
      <c r="D489" s="150"/>
      <c r="E489" s="89"/>
      <c r="F489" s="151"/>
      <c r="G489" s="151"/>
      <c r="H489" s="151"/>
      <c r="I489" s="151"/>
      <c r="J489" s="152"/>
      <c r="K489" s="152"/>
      <c r="L489" s="152"/>
      <c r="M489" s="152"/>
      <c r="N489" s="150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</row>
    <row r="490" customFormat="false" ht="11.25" hidden="false" customHeight="true" outlineLevel="0" collapsed="false">
      <c r="A490" s="89"/>
      <c r="B490" s="89"/>
      <c r="C490" s="89"/>
      <c r="D490" s="150"/>
      <c r="E490" s="89"/>
      <c r="F490" s="151"/>
      <c r="G490" s="151"/>
      <c r="H490" s="151"/>
      <c r="I490" s="151"/>
      <c r="J490" s="152"/>
      <c r="K490" s="152"/>
      <c r="L490" s="152"/>
      <c r="M490" s="152"/>
      <c r="N490" s="150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</row>
    <row r="491" customFormat="false" ht="11.25" hidden="false" customHeight="true" outlineLevel="0" collapsed="false">
      <c r="A491" s="89"/>
      <c r="B491" s="89"/>
      <c r="C491" s="89"/>
      <c r="D491" s="150"/>
      <c r="E491" s="89"/>
      <c r="F491" s="151"/>
      <c r="G491" s="151"/>
      <c r="H491" s="151"/>
      <c r="I491" s="151"/>
      <c r="J491" s="152"/>
      <c r="K491" s="152"/>
      <c r="L491" s="152"/>
      <c r="M491" s="152"/>
      <c r="N491" s="150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</row>
    <row r="492" customFormat="false" ht="11.25" hidden="false" customHeight="true" outlineLevel="0" collapsed="false">
      <c r="A492" s="89"/>
      <c r="B492" s="89"/>
      <c r="C492" s="89"/>
      <c r="D492" s="150"/>
      <c r="E492" s="89"/>
      <c r="F492" s="151"/>
      <c r="G492" s="151"/>
      <c r="H492" s="151"/>
      <c r="I492" s="151"/>
      <c r="J492" s="152"/>
      <c r="K492" s="152"/>
      <c r="L492" s="152"/>
      <c r="M492" s="152"/>
      <c r="N492" s="150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</row>
    <row r="493" customFormat="false" ht="11.25" hidden="false" customHeight="true" outlineLevel="0" collapsed="false">
      <c r="A493" s="89"/>
      <c r="B493" s="89"/>
      <c r="C493" s="89"/>
      <c r="D493" s="150"/>
      <c r="E493" s="89"/>
      <c r="F493" s="151"/>
      <c r="G493" s="151"/>
      <c r="H493" s="151"/>
      <c r="I493" s="151"/>
      <c r="J493" s="152"/>
      <c r="K493" s="152"/>
      <c r="L493" s="152"/>
      <c r="M493" s="152"/>
      <c r="N493" s="150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</row>
    <row r="494" customFormat="false" ht="11.25" hidden="false" customHeight="true" outlineLevel="0" collapsed="false">
      <c r="A494" s="89"/>
      <c r="B494" s="89"/>
      <c r="C494" s="89"/>
      <c r="D494" s="150"/>
      <c r="E494" s="89"/>
      <c r="F494" s="151"/>
      <c r="G494" s="151"/>
      <c r="H494" s="151"/>
      <c r="I494" s="151"/>
      <c r="J494" s="152"/>
      <c r="K494" s="152"/>
      <c r="L494" s="152"/>
      <c r="M494" s="152"/>
      <c r="N494" s="150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</row>
    <row r="495" customFormat="false" ht="11.25" hidden="false" customHeight="true" outlineLevel="0" collapsed="false">
      <c r="A495" s="89"/>
      <c r="B495" s="89"/>
      <c r="C495" s="89"/>
      <c r="D495" s="150"/>
      <c r="E495" s="89"/>
      <c r="F495" s="151"/>
      <c r="G495" s="151"/>
      <c r="H495" s="151"/>
      <c r="I495" s="151"/>
      <c r="J495" s="152"/>
      <c r="K495" s="152"/>
      <c r="L495" s="152"/>
      <c r="M495" s="152"/>
      <c r="N495" s="150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</row>
    <row r="496" customFormat="false" ht="11.25" hidden="false" customHeight="true" outlineLevel="0" collapsed="false">
      <c r="A496" s="89"/>
      <c r="B496" s="89"/>
      <c r="C496" s="89"/>
      <c r="D496" s="150"/>
      <c r="E496" s="89"/>
      <c r="F496" s="151"/>
      <c r="G496" s="151"/>
      <c r="H496" s="151"/>
      <c r="I496" s="151"/>
      <c r="J496" s="152"/>
      <c r="K496" s="152"/>
      <c r="L496" s="152"/>
      <c r="M496" s="152"/>
      <c r="N496" s="150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</row>
    <row r="497" customFormat="false" ht="11.25" hidden="false" customHeight="true" outlineLevel="0" collapsed="false">
      <c r="A497" s="89"/>
      <c r="B497" s="89"/>
      <c r="C497" s="89"/>
      <c r="D497" s="150"/>
      <c r="E497" s="89"/>
      <c r="F497" s="151"/>
      <c r="G497" s="151"/>
      <c r="H497" s="151"/>
      <c r="I497" s="151"/>
      <c r="J497" s="152"/>
      <c r="K497" s="152"/>
      <c r="L497" s="152"/>
      <c r="M497" s="152"/>
      <c r="N497" s="150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</row>
    <row r="498" customFormat="false" ht="11.25" hidden="false" customHeight="true" outlineLevel="0" collapsed="false">
      <c r="A498" s="89"/>
      <c r="B498" s="89"/>
      <c r="C498" s="89"/>
      <c r="D498" s="150"/>
      <c r="E498" s="89"/>
      <c r="F498" s="151"/>
      <c r="G498" s="151"/>
      <c r="H498" s="151"/>
      <c r="I498" s="151"/>
      <c r="J498" s="152"/>
      <c r="K498" s="152"/>
      <c r="L498" s="152"/>
      <c r="M498" s="152"/>
      <c r="N498" s="150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</row>
    <row r="499" customFormat="false" ht="11.25" hidden="false" customHeight="true" outlineLevel="0" collapsed="false">
      <c r="A499" s="89"/>
      <c r="B499" s="89"/>
      <c r="C499" s="89"/>
      <c r="D499" s="150"/>
      <c r="E499" s="89"/>
      <c r="F499" s="151"/>
      <c r="G499" s="151"/>
      <c r="H499" s="151"/>
      <c r="I499" s="151"/>
      <c r="J499" s="152"/>
      <c r="K499" s="152"/>
      <c r="L499" s="152"/>
      <c r="M499" s="152"/>
      <c r="N499" s="150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</row>
    <row r="500" customFormat="false" ht="11.25" hidden="false" customHeight="true" outlineLevel="0" collapsed="false">
      <c r="A500" s="89"/>
      <c r="B500" s="89"/>
      <c r="C500" s="89"/>
      <c r="D500" s="150"/>
      <c r="E500" s="89"/>
      <c r="F500" s="151"/>
      <c r="G500" s="151"/>
      <c r="H500" s="151"/>
      <c r="I500" s="151"/>
      <c r="J500" s="152"/>
      <c r="K500" s="152"/>
      <c r="L500" s="152"/>
      <c r="M500" s="152"/>
      <c r="N500" s="150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</row>
    <row r="501" customFormat="false" ht="11.25" hidden="false" customHeight="true" outlineLevel="0" collapsed="false">
      <c r="A501" s="89"/>
      <c r="B501" s="89"/>
      <c r="C501" s="89"/>
      <c r="D501" s="150"/>
      <c r="E501" s="89"/>
      <c r="F501" s="151"/>
      <c r="G501" s="151"/>
      <c r="H501" s="151"/>
      <c r="I501" s="151"/>
      <c r="J501" s="152"/>
      <c r="K501" s="152"/>
      <c r="L501" s="152"/>
      <c r="M501" s="152"/>
      <c r="N501" s="150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</row>
    <row r="502" customFormat="false" ht="11.25" hidden="false" customHeight="true" outlineLevel="0" collapsed="false">
      <c r="A502" s="89"/>
      <c r="B502" s="89"/>
      <c r="C502" s="89"/>
      <c r="D502" s="150"/>
      <c r="E502" s="89"/>
      <c r="F502" s="151"/>
      <c r="G502" s="151"/>
      <c r="H502" s="151"/>
      <c r="I502" s="151"/>
      <c r="J502" s="152"/>
      <c r="K502" s="152"/>
      <c r="L502" s="152"/>
      <c r="M502" s="152"/>
      <c r="N502" s="150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</row>
    <row r="503" customFormat="false" ht="11.25" hidden="false" customHeight="true" outlineLevel="0" collapsed="false">
      <c r="A503" s="89"/>
      <c r="B503" s="89"/>
      <c r="C503" s="89"/>
      <c r="D503" s="150"/>
      <c r="E503" s="89"/>
      <c r="F503" s="151"/>
      <c r="G503" s="151"/>
      <c r="H503" s="151"/>
      <c r="I503" s="151"/>
      <c r="J503" s="152"/>
      <c r="K503" s="152"/>
      <c r="L503" s="152"/>
      <c r="M503" s="152"/>
      <c r="N503" s="150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</row>
    <row r="504" customFormat="false" ht="11.25" hidden="false" customHeight="true" outlineLevel="0" collapsed="false">
      <c r="A504" s="89"/>
      <c r="B504" s="89"/>
      <c r="C504" s="89"/>
      <c r="D504" s="150"/>
      <c r="E504" s="89"/>
      <c r="F504" s="151"/>
      <c r="G504" s="151"/>
      <c r="H504" s="151"/>
      <c r="I504" s="151"/>
      <c r="J504" s="152"/>
      <c r="K504" s="152"/>
      <c r="L504" s="152"/>
      <c r="M504" s="152"/>
      <c r="N504" s="150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</row>
    <row r="505" customFormat="false" ht="11.25" hidden="false" customHeight="true" outlineLevel="0" collapsed="false">
      <c r="A505" s="89"/>
      <c r="B505" s="89"/>
      <c r="C505" s="89"/>
      <c r="D505" s="150"/>
      <c r="E505" s="89"/>
      <c r="F505" s="151"/>
      <c r="G505" s="151"/>
      <c r="H505" s="151"/>
      <c r="I505" s="151"/>
      <c r="J505" s="152"/>
      <c r="K505" s="152"/>
      <c r="L505" s="152"/>
      <c r="M505" s="152"/>
      <c r="N505" s="150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</row>
    <row r="506" customFormat="false" ht="11.25" hidden="false" customHeight="true" outlineLevel="0" collapsed="false">
      <c r="A506" s="89"/>
      <c r="B506" s="89"/>
      <c r="C506" s="89"/>
      <c r="D506" s="150"/>
      <c r="E506" s="89"/>
      <c r="F506" s="151"/>
      <c r="G506" s="151"/>
      <c r="H506" s="151"/>
      <c r="I506" s="151"/>
      <c r="J506" s="152"/>
      <c r="K506" s="152"/>
      <c r="L506" s="152"/>
      <c r="M506" s="152"/>
      <c r="N506" s="150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</row>
    <row r="507" customFormat="false" ht="11.25" hidden="false" customHeight="true" outlineLevel="0" collapsed="false">
      <c r="A507" s="89"/>
      <c r="B507" s="89"/>
      <c r="C507" s="89"/>
      <c r="D507" s="150"/>
      <c r="E507" s="89"/>
      <c r="F507" s="151"/>
      <c r="G507" s="151"/>
      <c r="H507" s="151"/>
      <c r="I507" s="151"/>
      <c r="J507" s="152"/>
      <c r="K507" s="152"/>
      <c r="L507" s="152"/>
      <c r="M507" s="152"/>
      <c r="N507" s="150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</row>
    <row r="508" customFormat="false" ht="11.25" hidden="false" customHeight="true" outlineLevel="0" collapsed="false">
      <c r="A508" s="89"/>
      <c r="B508" s="89"/>
      <c r="C508" s="89"/>
      <c r="D508" s="150"/>
      <c r="E508" s="89"/>
      <c r="F508" s="151"/>
      <c r="G508" s="151"/>
      <c r="H508" s="151"/>
      <c r="I508" s="151"/>
      <c r="J508" s="152"/>
      <c r="K508" s="152"/>
      <c r="L508" s="152"/>
      <c r="M508" s="152"/>
      <c r="N508" s="150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</row>
    <row r="509" customFormat="false" ht="11.25" hidden="false" customHeight="true" outlineLevel="0" collapsed="false">
      <c r="A509" s="89"/>
      <c r="B509" s="89"/>
      <c r="C509" s="89"/>
      <c r="D509" s="150"/>
      <c r="E509" s="89"/>
      <c r="F509" s="151"/>
      <c r="G509" s="151"/>
      <c r="H509" s="151"/>
      <c r="I509" s="151"/>
      <c r="J509" s="152"/>
      <c r="K509" s="152"/>
      <c r="L509" s="152"/>
      <c r="M509" s="152"/>
      <c r="N509" s="150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</row>
    <row r="510" customFormat="false" ht="11.25" hidden="false" customHeight="true" outlineLevel="0" collapsed="false">
      <c r="A510" s="89"/>
      <c r="B510" s="89"/>
      <c r="C510" s="89"/>
      <c r="D510" s="150"/>
      <c r="E510" s="89"/>
      <c r="F510" s="151"/>
      <c r="G510" s="151"/>
      <c r="H510" s="151"/>
      <c r="I510" s="151"/>
      <c r="J510" s="152"/>
      <c r="K510" s="152"/>
      <c r="L510" s="152"/>
      <c r="M510" s="152"/>
      <c r="N510" s="150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</row>
    <row r="511" customFormat="false" ht="11.25" hidden="false" customHeight="true" outlineLevel="0" collapsed="false">
      <c r="A511" s="89"/>
      <c r="B511" s="89"/>
      <c r="C511" s="89"/>
      <c r="D511" s="150"/>
      <c r="E511" s="89"/>
      <c r="F511" s="151"/>
      <c r="G511" s="151"/>
      <c r="H511" s="151"/>
      <c r="I511" s="151"/>
      <c r="J511" s="152"/>
      <c r="K511" s="152"/>
      <c r="L511" s="152"/>
      <c r="M511" s="152"/>
      <c r="N511" s="150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</row>
    <row r="512" customFormat="false" ht="11.25" hidden="false" customHeight="true" outlineLevel="0" collapsed="false">
      <c r="A512" s="89"/>
      <c r="B512" s="89"/>
      <c r="C512" s="89"/>
      <c r="D512" s="150"/>
      <c r="E512" s="89"/>
      <c r="F512" s="151"/>
      <c r="G512" s="151"/>
      <c r="H512" s="151"/>
      <c r="I512" s="151"/>
      <c r="J512" s="152"/>
      <c r="K512" s="152"/>
      <c r="L512" s="152"/>
      <c r="M512" s="152"/>
      <c r="N512" s="150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</row>
    <row r="513" customFormat="false" ht="11.25" hidden="false" customHeight="true" outlineLevel="0" collapsed="false">
      <c r="A513" s="89"/>
      <c r="B513" s="89"/>
      <c r="C513" s="89"/>
      <c r="D513" s="150"/>
      <c r="E513" s="89"/>
      <c r="F513" s="151"/>
      <c r="G513" s="151"/>
      <c r="H513" s="151"/>
      <c r="I513" s="151"/>
      <c r="J513" s="152"/>
      <c r="K513" s="152"/>
      <c r="L513" s="152"/>
      <c r="M513" s="152"/>
      <c r="N513" s="150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</row>
    <row r="514" customFormat="false" ht="11.25" hidden="false" customHeight="true" outlineLevel="0" collapsed="false">
      <c r="A514" s="89"/>
      <c r="B514" s="89"/>
      <c r="C514" s="89"/>
      <c r="D514" s="150"/>
      <c r="E514" s="89"/>
      <c r="F514" s="151"/>
      <c r="G514" s="151"/>
      <c r="H514" s="151"/>
      <c r="I514" s="151"/>
      <c r="J514" s="152"/>
      <c r="K514" s="152"/>
      <c r="L514" s="152"/>
      <c r="M514" s="152"/>
      <c r="N514" s="150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</row>
    <row r="515" customFormat="false" ht="11.25" hidden="false" customHeight="true" outlineLevel="0" collapsed="false">
      <c r="A515" s="89"/>
      <c r="B515" s="89"/>
      <c r="C515" s="89"/>
      <c r="D515" s="150"/>
      <c r="E515" s="89"/>
      <c r="F515" s="151"/>
      <c r="G515" s="151"/>
      <c r="H515" s="151"/>
      <c r="I515" s="151"/>
      <c r="J515" s="152"/>
      <c r="K515" s="152"/>
      <c r="L515" s="152"/>
      <c r="M515" s="152"/>
      <c r="N515" s="150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</row>
    <row r="516" customFormat="false" ht="11.25" hidden="false" customHeight="true" outlineLevel="0" collapsed="false">
      <c r="A516" s="89"/>
      <c r="B516" s="89"/>
      <c r="C516" s="89"/>
      <c r="D516" s="150"/>
      <c r="E516" s="89"/>
      <c r="F516" s="151"/>
      <c r="G516" s="151"/>
      <c r="H516" s="151"/>
      <c r="I516" s="151"/>
      <c r="J516" s="152"/>
      <c r="K516" s="152"/>
      <c r="L516" s="152"/>
      <c r="M516" s="152"/>
      <c r="N516" s="150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</row>
    <row r="517" customFormat="false" ht="11.25" hidden="false" customHeight="true" outlineLevel="0" collapsed="false">
      <c r="A517" s="89"/>
      <c r="B517" s="89"/>
      <c r="C517" s="89"/>
      <c r="D517" s="150"/>
      <c r="E517" s="89"/>
      <c r="F517" s="151"/>
      <c r="G517" s="151"/>
      <c r="H517" s="151"/>
      <c r="I517" s="151"/>
      <c r="J517" s="152"/>
      <c r="K517" s="152"/>
      <c r="L517" s="152"/>
      <c r="M517" s="152"/>
      <c r="N517" s="150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</row>
    <row r="518" customFormat="false" ht="11.25" hidden="false" customHeight="true" outlineLevel="0" collapsed="false">
      <c r="A518" s="89"/>
      <c r="B518" s="89"/>
      <c r="C518" s="89"/>
      <c r="D518" s="150"/>
      <c r="E518" s="89"/>
      <c r="F518" s="151"/>
      <c r="G518" s="151"/>
      <c r="H518" s="151"/>
      <c r="I518" s="151"/>
      <c r="J518" s="152"/>
      <c r="K518" s="152"/>
      <c r="L518" s="152"/>
      <c r="M518" s="152"/>
      <c r="N518" s="150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</row>
    <row r="519" customFormat="false" ht="11.25" hidden="false" customHeight="true" outlineLevel="0" collapsed="false">
      <c r="A519" s="89"/>
      <c r="B519" s="89"/>
      <c r="C519" s="89"/>
      <c r="D519" s="150"/>
      <c r="E519" s="89"/>
      <c r="F519" s="151"/>
      <c r="G519" s="151"/>
      <c r="H519" s="151"/>
      <c r="I519" s="151"/>
      <c r="J519" s="152"/>
      <c r="K519" s="152"/>
      <c r="L519" s="152"/>
      <c r="M519" s="152"/>
      <c r="N519" s="150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</row>
    <row r="520" customFormat="false" ht="11.25" hidden="false" customHeight="true" outlineLevel="0" collapsed="false">
      <c r="A520" s="89"/>
      <c r="B520" s="89"/>
      <c r="C520" s="89"/>
      <c r="D520" s="150"/>
      <c r="E520" s="89"/>
      <c r="F520" s="151"/>
      <c r="G520" s="151"/>
      <c r="H520" s="151"/>
      <c r="I520" s="151"/>
      <c r="J520" s="152"/>
      <c r="K520" s="152"/>
      <c r="L520" s="152"/>
      <c r="M520" s="152"/>
      <c r="N520" s="150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</row>
    <row r="521" customFormat="false" ht="11.25" hidden="false" customHeight="true" outlineLevel="0" collapsed="false">
      <c r="A521" s="89"/>
      <c r="B521" s="89"/>
      <c r="C521" s="89"/>
      <c r="D521" s="150"/>
      <c r="E521" s="89"/>
      <c r="F521" s="151"/>
      <c r="G521" s="151"/>
      <c r="H521" s="151"/>
      <c r="I521" s="151"/>
      <c r="J521" s="152"/>
      <c r="K521" s="152"/>
      <c r="L521" s="152"/>
      <c r="M521" s="152"/>
      <c r="N521" s="150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</row>
    <row r="522" customFormat="false" ht="11.25" hidden="false" customHeight="true" outlineLevel="0" collapsed="false">
      <c r="A522" s="89"/>
      <c r="B522" s="89"/>
      <c r="C522" s="89"/>
      <c r="D522" s="150"/>
      <c r="E522" s="89"/>
      <c r="F522" s="151"/>
      <c r="G522" s="151"/>
      <c r="H522" s="151"/>
      <c r="I522" s="151"/>
      <c r="J522" s="152"/>
      <c r="K522" s="152"/>
      <c r="L522" s="152"/>
      <c r="M522" s="152"/>
      <c r="N522" s="150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</row>
    <row r="523" customFormat="false" ht="11.25" hidden="false" customHeight="true" outlineLevel="0" collapsed="false">
      <c r="A523" s="89"/>
      <c r="B523" s="89"/>
      <c r="C523" s="89"/>
      <c r="D523" s="150"/>
      <c r="E523" s="89"/>
      <c r="F523" s="151"/>
      <c r="G523" s="151"/>
      <c r="H523" s="151"/>
      <c r="I523" s="151"/>
      <c r="J523" s="152"/>
      <c r="K523" s="152"/>
      <c r="L523" s="152"/>
      <c r="M523" s="152"/>
      <c r="N523" s="150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</row>
    <row r="524" customFormat="false" ht="11.25" hidden="false" customHeight="true" outlineLevel="0" collapsed="false">
      <c r="A524" s="89"/>
      <c r="B524" s="89"/>
      <c r="C524" s="89"/>
      <c r="D524" s="150"/>
      <c r="E524" s="89"/>
      <c r="F524" s="151"/>
      <c r="G524" s="151"/>
      <c r="H524" s="151"/>
      <c r="I524" s="151"/>
      <c r="J524" s="152"/>
      <c r="K524" s="152"/>
      <c r="L524" s="152"/>
      <c r="M524" s="152"/>
      <c r="N524" s="150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</row>
    <row r="525" customFormat="false" ht="11.25" hidden="false" customHeight="true" outlineLevel="0" collapsed="false">
      <c r="A525" s="89"/>
      <c r="B525" s="89"/>
      <c r="C525" s="89"/>
      <c r="D525" s="150"/>
      <c r="E525" s="89"/>
      <c r="F525" s="151"/>
      <c r="G525" s="151"/>
      <c r="H525" s="151"/>
      <c r="I525" s="151"/>
      <c r="J525" s="152"/>
      <c r="K525" s="152"/>
      <c r="L525" s="152"/>
      <c r="M525" s="152"/>
      <c r="N525" s="150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</row>
    <row r="526" customFormat="false" ht="11.25" hidden="false" customHeight="true" outlineLevel="0" collapsed="false">
      <c r="A526" s="89"/>
      <c r="B526" s="89"/>
      <c r="C526" s="89"/>
      <c r="D526" s="150"/>
      <c r="E526" s="89"/>
      <c r="F526" s="151"/>
      <c r="G526" s="151"/>
      <c r="H526" s="151"/>
      <c r="I526" s="151"/>
      <c r="J526" s="152"/>
      <c r="K526" s="152"/>
      <c r="L526" s="152"/>
      <c r="M526" s="152"/>
      <c r="N526" s="150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</row>
    <row r="527" customFormat="false" ht="11.25" hidden="false" customHeight="true" outlineLevel="0" collapsed="false">
      <c r="A527" s="89"/>
      <c r="B527" s="89"/>
      <c r="C527" s="89"/>
      <c r="D527" s="150"/>
      <c r="E527" s="89"/>
      <c r="F527" s="151"/>
      <c r="G527" s="151"/>
      <c r="H527" s="151"/>
      <c r="I527" s="151"/>
      <c r="J527" s="152"/>
      <c r="K527" s="152"/>
      <c r="L527" s="152"/>
      <c r="M527" s="152"/>
      <c r="N527" s="150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</row>
    <row r="528" customFormat="false" ht="11.25" hidden="false" customHeight="true" outlineLevel="0" collapsed="false">
      <c r="A528" s="89"/>
      <c r="B528" s="89"/>
      <c r="C528" s="89"/>
      <c r="D528" s="150"/>
      <c r="E528" s="89"/>
      <c r="F528" s="151"/>
      <c r="G528" s="151"/>
      <c r="H528" s="151"/>
      <c r="I528" s="151"/>
      <c r="J528" s="152"/>
      <c r="K528" s="152"/>
      <c r="L528" s="152"/>
      <c r="M528" s="152"/>
      <c r="N528" s="150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</row>
    <row r="529" customFormat="false" ht="11.25" hidden="false" customHeight="true" outlineLevel="0" collapsed="false">
      <c r="A529" s="89"/>
      <c r="B529" s="89"/>
      <c r="C529" s="89"/>
      <c r="D529" s="150"/>
      <c r="E529" s="89"/>
      <c r="F529" s="151"/>
      <c r="G529" s="151"/>
      <c r="H529" s="151"/>
      <c r="I529" s="151"/>
      <c r="J529" s="152"/>
      <c r="K529" s="152"/>
      <c r="L529" s="152"/>
      <c r="M529" s="152"/>
      <c r="N529" s="150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</row>
    <row r="530" customFormat="false" ht="11.25" hidden="false" customHeight="true" outlineLevel="0" collapsed="false">
      <c r="A530" s="89"/>
      <c r="B530" s="89"/>
      <c r="C530" s="89"/>
      <c r="D530" s="150"/>
      <c r="E530" s="89"/>
      <c r="F530" s="151"/>
      <c r="G530" s="151"/>
      <c r="H530" s="151"/>
      <c r="I530" s="151"/>
      <c r="J530" s="152"/>
      <c r="K530" s="152"/>
      <c r="L530" s="152"/>
      <c r="M530" s="152"/>
      <c r="N530" s="150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</row>
    <row r="531" customFormat="false" ht="11.25" hidden="false" customHeight="true" outlineLevel="0" collapsed="false">
      <c r="A531" s="89"/>
      <c r="B531" s="89"/>
      <c r="C531" s="89"/>
      <c r="D531" s="150"/>
      <c r="E531" s="89"/>
      <c r="F531" s="151"/>
      <c r="G531" s="151"/>
      <c r="H531" s="151"/>
      <c r="I531" s="151"/>
      <c r="J531" s="152"/>
      <c r="K531" s="152"/>
      <c r="L531" s="152"/>
      <c r="M531" s="152"/>
      <c r="N531" s="150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</row>
    <row r="532" customFormat="false" ht="11.25" hidden="false" customHeight="true" outlineLevel="0" collapsed="false">
      <c r="A532" s="89"/>
      <c r="B532" s="89"/>
      <c r="C532" s="89"/>
      <c r="D532" s="150"/>
      <c r="E532" s="89"/>
      <c r="F532" s="151"/>
      <c r="G532" s="151"/>
      <c r="H532" s="151"/>
      <c r="I532" s="151"/>
      <c r="J532" s="152"/>
      <c r="K532" s="152"/>
      <c r="L532" s="152"/>
      <c r="M532" s="152"/>
      <c r="N532" s="150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</row>
    <row r="533" customFormat="false" ht="11.25" hidden="false" customHeight="true" outlineLevel="0" collapsed="false">
      <c r="A533" s="89"/>
      <c r="B533" s="89"/>
      <c r="C533" s="89"/>
      <c r="D533" s="150"/>
      <c r="E533" s="89"/>
      <c r="F533" s="151"/>
      <c r="G533" s="151"/>
      <c r="H533" s="151"/>
      <c r="I533" s="151"/>
      <c r="J533" s="152"/>
      <c r="K533" s="152"/>
      <c r="L533" s="152"/>
      <c r="M533" s="152"/>
      <c r="N533" s="150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</row>
    <row r="534" customFormat="false" ht="11.25" hidden="false" customHeight="true" outlineLevel="0" collapsed="false">
      <c r="A534" s="89"/>
      <c r="B534" s="89"/>
      <c r="C534" s="89"/>
      <c r="D534" s="150"/>
      <c r="E534" s="89"/>
      <c r="F534" s="151"/>
      <c r="G534" s="151"/>
      <c r="H534" s="151"/>
      <c r="I534" s="151"/>
      <c r="J534" s="152"/>
      <c r="K534" s="152"/>
      <c r="L534" s="152"/>
      <c r="M534" s="152"/>
      <c r="N534" s="150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</row>
    <row r="535" customFormat="false" ht="11.25" hidden="false" customHeight="true" outlineLevel="0" collapsed="false">
      <c r="A535" s="89"/>
      <c r="B535" s="89"/>
      <c r="C535" s="89"/>
      <c r="D535" s="150"/>
      <c r="E535" s="89"/>
      <c r="F535" s="151"/>
      <c r="G535" s="151"/>
      <c r="H535" s="151"/>
      <c r="I535" s="151"/>
      <c r="J535" s="152"/>
      <c r="K535" s="152"/>
      <c r="L535" s="152"/>
      <c r="M535" s="152"/>
      <c r="N535" s="150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</row>
    <row r="536" customFormat="false" ht="11.25" hidden="false" customHeight="true" outlineLevel="0" collapsed="false">
      <c r="A536" s="89"/>
      <c r="B536" s="89"/>
      <c r="C536" s="89"/>
      <c r="D536" s="150"/>
      <c r="E536" s="89"/>
      <c r="F536" s="151"/>
      <c r="G536" s="151"/>
      <c r="H536" s="151"/>
      <c r="I536" s="151"/>
      <c r="J536" s="152"/>
      <c r="K536" s="152"/>
      <c r="L536" s="152"/>
      <c r="M536" s="152"/>
      <c r="N536" s="150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</row>
    <row r="537" customFormat="false" ht="11.25" hidden="false" customHeight="true" outlineLevel="0" collapsed="false">
      <c r="A537" s="89"/>
      <c r="B537" s="89"/>
      <c r="C537" s="89"/>
      <c r="D537" s="150"/>
      <c r="E537" s="89"/>
      <c r="F537" s="151"/>
      <c r="G537" s="151"/>
      <c r="H537" s="151"/>
      <c r="I537" s="151"/>
      <c r="J537" s="152"/>
      <c r="K537" s="152"/>
      <c r="L537" s="152"/>
      <c r="M537" s="152"/>
      <c r="N537" s="150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</row>
    <row r="538" customFormat="false" ht="11.25" hidden="false" customHeight="true" outlineLevel="0" collapsed="false">
      <c r="A538" s="89"/>
      <c r="B538" s="89"/>
      <c r="C538" s="89"/>
      <c r="D538" s="150"/>
      <c r="E538" s="89"/>
      <c r="F538" s="151"/>
      <c r="G538" s="151"/>
      <c r="H538" s="151"/>
      <c r="I538" s="151"/>
      <c r="J538" s="152"/>
      <c r="K538" s="152"/>
      <c r="L538" s="152"/>
      <c r="M538" s="152"/>
      <c r="N538" s="150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</row>
    <row r="539" customFormat="false" ht="11.25" hidden="false" customHeight="true" outlineLevel="0" collapsed="false">
      <c r="A539" s="89"/>
      <c r="B539" s="89"/>
      <c r="C539" s="89"/>
      <c r="D539" s="150"/>
      <c r="E539" s="89"/>
      <c r="F539" s="151"/>
      <c r="G539" s="151"/>
      <c r="H539" s="151"/>
      <c r="I539" s="151"/>
      <c r="J539" s="152"/>
      <c r="K539" s="152"/>
      <c r="L539" s="152"/>
      <c r="M539" s="152"/>
      <c r="N539" s="150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</row>
    <row r="540" customFormat="false" ht="11.25" hidden="false" customHeight="true" outlineLevel="0" collapsed="false">
      <c r="A540" s="89"/>
      <c r="B540" s="89"/>
      <c r="C540" s="89"/>
      <c r="D540" s="150"/>
      <c r="E540" s="89"/>
      <c r="F540" s="151"/>
      <c r="G540" s="151"/>
      <c r="H540" s="151"/>
      <c r="I540" s="151"/>
      <c r="J540" s="152"/>
      <c r="K540" s="152"/>
      <c r="L540" s="152"/>
      <c r="M540" s="152"/>
      <c r="N540" s="150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</row>
    <row r="541" customFormat="false" ht="11.25" hidden="false" customHeight="true" outlineLevel="0" collapsed="false">
      <c r="A541" s="89"/>
      <c r="B541" s="89"/>
      <c r="C541" s="89"/>
      <c r="D541" s="150"/>
      <c r="E541" s="89"/>
      <c r="F541" s="151"/>
      <c r="G541" s="151"/>
      <c r="H541" s="151"/>
      <c r="I541" s="151"/>
      <c r="J541" s="152"/>
      <c r="K541" s="152"/>
      <c r="L541" s="152"/>
      <c r="M541" s="152"/>
      <c r="N541" s="150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</row>
    <row r="542" customFormat="false" ht="11.25" hidden="false" customHeight="true" outlineLevel="0" collapsed="false">
      <c r="A542" s="89"/>
      <c r="B542" s="89"/>
      <c r="C542" s="89"/>
      <c r="D542" s="150"/>
      <c r="E542" s="89"/>
      <c r="F542" s="151"/>
      <c r="G542" s="151"/>
      <c r="H542" s="151"/>
      <c r="I542" s="151"/>
      <c r="J542" s="152"/>
      <c r="K542" s="152"/>
      <c r="L542" s="152"/>
      <c r="M542" s="152"/>
      <c r="N542" s="150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</row>
    <row r="543" customFormat="false" ht="11.25" hidden="false" customHeight="true" outlineLevel="0" collapsed="false">
      <c r="A543" s="89"/>
      <c r="B543" s="89"/>
      <c r="C543" s="89"/>
      <c r="D543" s="150"/>
      <c r="E543" s="89"/>
      <c r="F543" s="151"/>
      <c r="G543" s="151"/>
      <c r="H543" s="151"/>
      <c r="I543" s="151"/>
      <c r="J543" s="152"/>
      <c r="K543" s="152"/>
      <c r="L543" s="152"/>
      <c r="M543" s="152"/>
      <c r="N543" s="150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</row>
    <row r="544" customFormat="false" ht="11.25" hidden="false" customHeight="true" outlineLevel="0" collapsed="false">
      <c r="A544" s="89"/>
      <c r="B544" s="89"/>
      <c r="C544" s="89"/>
      <c r="D544" s="150"/>
      <c r="E544" s="89"/>
      <c r="F544" s="151"/>
      <c r="G544" s="151"/>
      <c r="H544" s="151"/>
      <c r="I544" s="151"/>
      <c r="J544" s="152"/>
      <c r="K544" s="152"/>
      <c r="L544" s="152"/>
      <c r="M544" s="152"/>
      <c r="N544" s="150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</row>
    <row r="545" customFormat="false" ht="11.25" hidden="false" customHeight="true" outlineLevel="0" collapsed="false">
      <c r="A545" s="89"/>
      <c r="B545" s="89"/>
      <c r="C545" s="89"/>
      <c r="D545" s="150"/>
      <c r="E545" s="89"/>
      <c r="F545" s="151"/>
      <c r="G545" s="151"/>
      <c r="H545" s="151"/>
      <c r="I545" s="151"/>
      <c r="J545" s="152"/>
      <c r="K545" s="152"/>
      <c r="L545" s="152"/>
      <c r="M545" s="152"/>
      <c r="N545" s="150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</row>
    <row r="546" customFormat="false" ht="11.25" hidden="false" customHeight="true" outlineLevel="0" collapsed="false">
      <c r="A546" s="89"/>
      <c r="B546" s="89"/>
      <c r="C546" s="89"/>
      <c r="D546" s="150"/>
      <c r="E546" s="89"/>
      <c r="F546" s="151"/>
      <c r="G546" s="151"/>
      <c r="H546" s="151"/>
      <c r="I546" s="151"/>
      <c r="J546" s="152"/>
      <c r="K546" s="152"/>
      <c r="L546" s="152"/>
      <c r="M546" s="152"/>
      <c r="N546" s="150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</row>
    <row r="547" customFormat="false" ht="11.25" hidden="false" customHeight="true" outlineLevel="0" collapsed="false">
      <c r="A547" s="89"/>
      <c r="B547" s="89"/>
      <c r="C547" s="89"/>
      <c r="D547" s="150"/>
      <c r="E547" s="89"/>
      <c r="F547" s="151"/>
      <c r="G547" s="151"/>
      <c r="H547" s="151"/>
      <c r="I547" s="151"/>
      <c r="J547" s="152"/>
      <c r="K547" s="152"/>
      <c r="L547" s="152"/>
      <c r="M547" s="152"/>
      <c r="N547" s="150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</row>
    <row r="548" customFormat="false" ht="11.25" hidden="false" customHeight="true" outlineLevel="0" collapsed="false">
      <c r="A548" s="89"/>
      <c r="B548" s="89"/>
      <c r="C548" s="89"/>
      <c r="D548" s="150"/>
      <c r="E548" s="89"/>
      <c r="F548" s="151"/>
      <c r="G548" s="151"/>
      <c r="H548" s="151"/>
      <c r="I548" s="151"/>
      <c r="J548" s="152"/>
      <c r="K548" s="152"/>
      <c r="L548" s="152"/>
      <c r="M548" s="152"/>
      <c r="N548" s="150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</row>
    <row r="549" customFormat="false" ht="11.25" hidden="false" customHeight="true" outlineLevel="0" collapsed="false">
      <c r="A549" s="89"/>
      <c r="B549" s="89"/>
      <c r="C549" s="89"/>
      <c r="D549" s="150"/>
      <c r="E549" s="89"/>
      <c r="F549" s="151"/>
      <c r="G549" s="151"/>
      <c r="H549" s="151"/>
      <c r="I549" s="151"/>
      <c r="J549" s="152"/>
      <c r="K549" s="152"/>
      <c r="L549" s="152"/>
      <c r="M549" s="152"/>
      <c r="N549" s="150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</row>
    <row r="550" customFormat="false" ht="11.25" hidden="false" customHeight="true" outlineLevel="0" collapsed="false">
      <c r="A550" s="89"/>
      <c r="B550" s="89"/>
      <c r="C550" s="89"/>
      <c r="D550" s="150"/>
      <c r="E550" s="89"/>
      <c r="F550" s="151"/>
      <c r="G550" s="151"/>
      <c r="H550" s="151"/>
      <c r="I550" s="151"/>
      <c r="J550" s="152"/>
      <c r="K550" s="152"/>
      <c r="L550" s="152"/>
      <c r="M550" s="152"/>
      <c r="N550" s="150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</row>
    <row r="551" customFormat="false" ht="11.25" hidden="false" customHeight="true" outlineLevel="0" collapsed="false">
      <c r="A551" s="89"/>
      <c r="B551" s="89"/>
      <c r="C551" s="89"/>
      <c r="D551" s="150"/>
      <c r="E551" s="89"/>
      <c r="F551" s="151"/>
      <c r="G551" s="151"/>
      <c r="H551" s="151"/>
      <c r="I551" s="151"/>
      <c r="J551" s="152"/>
      <c r="K551" s="152"/>
      <c r="L551" s="152"/>
      <c r="M551" s="152"/>
      <c r="N551" s="150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</row>
    <row r="552" customFormat="false" ht="11.25" hidden="false" customHeight="true" outlineLevel="0" collapsed="false">
      <c r="A552" s="89"/>
      <c r="B552" s="89"/>
      <c r="C552" s="89"/>
      <c r="D552" s="150"/>
      <c r="E552" s="89"/>
      <c r="F552" s="151"/>
      <c r="G552" s="151"/>
      <c r="H552" s="151"/>
      <c r="I552" s="151"/>
      <c r="J552" s="152"/>
      <c r="K552" s="152"/>
      <c r="L552" s="152"/>
      <c r="M552" s="152"/>
      <c r="N552" s="150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</row>
    <row r="553" customFormat="false" ht="11.25" hidden="false" customHeight="true" outlineLevel="0" collapsed="false">
      <c r="A553" s="89"/>
      <c r="B553" s="89"/>
      <c r="C553" s="89"/>
      <c r="D553" s="150"/>
      <c r="E553" s="89"/>
      <c r="F553" s="151"/>
      <c r="G553" s="151"/>
      <c r="H553" s="151"/>
      <c r="I553" s="151"/>
      <c r="J553" s="152"/>
      <c r="K553" s="152"/>
      <c r="L553" s="152"/>
      <c r="M553" s="152"/>
      <c r="N553" s="150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</row>
    <row r="554" customFormat="false" ht="11.25" hidden="false" customHeight="true" outlineLevel="0" collapsed="false">
      <c r="A554" s="89"/>
      <c r="B554" s="89"/>
      <c r="C554" s="89"/>
      <c r="D554" s="150"/>
      <c r="E554" s="89"/>
      <c r="F554" s="151"/>
      <c r="G554" s="151"/>
      <c r="H554" s="151"/>
      <c r="I554" s="151"/>
      <c r="J554" s="152"/>
      <c r="K554" s="152"/>
      <c r="L554" s="152"/>
      <c r="M554" s="152"/>
      <c r="N554" s="150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</row>
    <row r="555" customFormat="false" ht="11.25" hidden="false" customHeight="true" outlineLevel="0" collapsed="false">
      <c r="A555" s="89"/>
      <c r="B555" s="89"/>
      <c r="C555" s="89"/>
      <c r="D555" s="150"/>
      <c r="E555" s="89"/>
      <c r="F555" s="151"/>
      <c r="G555" s="151"/>
      <c r="H555" s="151"/>
      <c r="I555" s="151"/>
      <c r="J555" s="152"/>
      <c r="K555" s="152"/>
      <c r="L555" s="152"/>
      <c r="M555" s="152"/>
      <c r="N555" s="150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</row>
    <row r="556" customFormat="false" ht="11.25" hidden="false" customHeight="true" outlineLevel="0" collapsed="false">
      <c r="A556" s="89"/>
      <c r="B556" s="89"/>
      <c r="C556" s="89"/>
      <c r="D556" s="150"/>
      <c r="E556" s="89"/>
      <c r="F556" s="151"/>
      <c r="G556" s="151"/>
      <c r="H556" s="151"/>
      <c r="I556" s="151"/>
      <c r="J556" s="152"/>
      <c r="K556" s="152"/>
      <c r="L556" s="152"/>
      <c r="M556" s="152"/>
      <c r="N556" s="150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</row>
    <row r="557" customFormat="false" ht="11.25" hidden="false" customHeight="true" outlineLevel="0" collapsed="false">
      <c r="A557" s="89"/>
      <c r="B557" s="89"/>
      <c r="C557" s="89"/>
      <c r="D557" s="150"/>
      <c r="E557" s="89"/>
      <c r="F557" s="151"/>
      <c r="G557" s="151"/>
      <c r="H557" s="151"/>
      <c r="I557" s="151"/>
      <c r="J557" s="152"/>
      <c r="K557" s="152"/>
      <c r="L557" s="152"/>
      <c r="M557" s="152"/>
      <c r="N557" s="150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</row>
    <row r="558" customFormat="false" ht="11.25" hidden="false" customHeight="true" outlineLevel="0" collapsed="false">
      <c r="A558" s="89"/>
      <c r="B558" s="89"/>
      <c r="C558" s="89"/>
      <c r="D558" s="150"/>
      <c r="E558" s="89"/>
      <c r="F558" s="151"/>
      <c r="G558" s="151"/>
      <c r="H558" s="151"/>
      <c r="I558" s="151"/>
      <c r="J558" s="152"/>
      <c r="K558" s="152"/>
      <c r="L558" s="152"/>
      <c r="M558" s="152"/>
      <c r="N558" s="150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</row>
    <row r="559" customFormat="false" ht="11.25" hidden="false" customHeight="true" outlineLevel="0" collapsed="false">
      <c r="A559" s="89"/>
      <c r="B559" s="89"/>
      <c r="C559" s="89"/>
      <c r="D559" s="150"/>
      <c r="E559" s="89"/>
      <c r="F559" s="151"/>
      <c r="G559" s="151"/>
      <c r="H559" s="151"/>
      <c r="I559" s="151"/>
      <c r="J559" s="152"/>
      <c r="K559" s="152"/>
      <c r="L559" s="152"/>
      <c r="M559" s="152"/>
      <c r="N559" s="150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</row>
    <row r="560" customFormat="false" ht="11.25" hidden="false" customHeight="true" outlineLevel="0" collapsed="false">
      <c r="A560" s="89"/>
      <c r="B560" s="89"/>
      <c r="C560" s="89"/>
      <c r="D560" s="150"/>
      <c r="E560" s="89"/>
      <c r="F560" s="151"/>
      <c r="G560" s="151"/>
      <c r="H560" s="151"/>
      <c r="I560" s="151"/>
      <c r="J560" s="152"/>
      <c r="K560" s="152"/>
      <c r="L560" s="152"/>
      <c r="M560" s="152"/>
      <c r="N560" s="150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</row>
    <row r="561" customFormat="false" ht="11.25" hidden="false" customHeight="true" outlineLevel="0" collapsed="false">
      <c r="A561" s="89"/>
      <c r="B561" s="89"/>
      <c r="C561" s="89"/>
      <c r="D561" s="150"/>
      <c r="E561" s="89"/>
      <c r="F561" s="151"/>
      <c r="G561" s="151"/>
      <c r="H561" s="151"/>
      <c r="I561" s="151"/>
      <c r="J561" s="152"/>
      <c r="K561" s="152"/>
      <c r="L561" s="152"/>
      <c r="M561" s="152"/>
      <c r="N561" s="150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</row>
    <row r="562" customFormat="false" ht="11.25" hidden="false" customHeight="true" outlineLevel="0" collapsed="false">
      <c r="A562" s="89"/>
      <c r="B562" s="89"/>
      <c r="C562" s="89"/>
      <c r="D562" s="150"/>
      <c r="E562" s="89"/>
      <c r="F562" s="151"/>
      <c r="G562" s="151"/>
      <c r="H562" s="151"/>
      <c r="I562" s="151"/>
      <c r="J562" s="152"/>
      <c r="K562" s="152"/>
      <c r="L562" s="152"/>
      <c r="M562" s="152"/>
      <c r="N562" s="150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</row>
    <row r="563" customFormat="false" ht="11.25" hidden="false" customHeight="true" outlineLevel="0" collapsed="false">
      <c r="A563" s="89"/>
      <c r="B563" s="89"/>
      <c r="C563" s="89"/>
      <c r="D563" s="150"/>
      <c r="E563" s="89"/>
      <c r="F563" s="151"/>
      <c r="G563" s="151"/>
      <c r="H563" s="151"/>
      <c r="I563" s="151"/>
      <c r="J563" s="152"/>
      <c r="K563" s="152"/>
      <c r="L563" s="152"/>
      <c r="M563" s="152"/>
      <c r="N563" s="150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</row>
    <row r="564" customFormat="false" ht="11.25" hidden="false" customHeight="true" outlineLevel="0" collapsed="false">
      <c r="A564" s="89"/>
      <c r="B564" s="89"/>
      <c r="C564" s="89"/>
      <c r="D564" s="150"/>
      <c r="E564" s="89"/>
      <c r="F564" s="151"/>
      <c r="G564" s="151"/>
      <c r="H564" s="151"/>
      <c r="I564" s="151"/>
      <c r="J564" s="152"/>
      <c r="K564" s="152"/>
      <c r="L564" s="152"/>
      <c r="M564" s="152"/>
      <c r="N564" s="150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</row>
    <row r="565" customFormat="false" ht="11.25" hidden="false" customHeight="true" outlineLevel="0" collapsed="false">
      <c r="A565" s="89"/>
      <c r="B565" s="89"/>
      <c r="C565" s="89"/>
      <c r="D565" s="150"/>
      <c r="E565" s="89"/>
      <c r="F565" s="151"/>
      <c r="G565" s="151"/>
      <c r="H565" s="151"/>
      <c r="I565" s="151"/>
      <c r="J565" s="152"/>
      <c r="K565" s="152"/>
      <c r="L565" s="152"/>
      <c r="M565" s="152"/>
      <c r="N565" s="150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</row>
    <row r="566" customFormat="false" ht="11.25" hidden="false" customHeight="true" outlineLevel="0" collapsed="false">
      <c r="A566" s="89"/>
      <c r="B566" s="89"/>
      <c r="C566" s="89"/>
      <c r="D566" s="150"/>
      <c r="E566" s="89"/>
      <c r="F566" s="151"/>
      <c r="G566" s="151"/>
      <c r="H566" s="151"/>
      <c r="I566" s="151"/>
      <c r="J566" s="152"/>
      <c r="K566" s="152"/>
      <c r="L566" s="152"/>
      <c r="M566" s="152"/>
      <c r="N566" s="150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</row>
    <row r="567" customFormat="false" ht="11.25" hidden="false" customHeight="true" outlineLevel="0" collapsed="false">
      <c r="A567" s="89"/>
      <c r="B567" s="89"/>
      <c r="C567" s="89"/>
      <c r="D567" s="150"/>
      <c r="E567" s="89"/>
      <c r="F567" s="151"/>
      <c r="G567" s="151"/>
      <c r="H567" s="151"/>
      <c r="I567" s="151"/>
      <c r="J567" s="152"/>
      <c r="K567" s="152"/>
      <c r="L567" s="152"/>
      <c r="M567" s="152"/>
      <c r="N567" s="150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</row>
    <row r="568" customFormat="false" ht="11.25" hidden="false" customHeight="true" outlineLevel="0" collapsed="false">
      <c r="A568" s="89"/>
      <c r="B568" s="89"/>
      <c r="C568" s="89"/>
      <c r="D568" s="150"/>
      <c r="E568" s="89"/>
      <c r="F568" s="151"/>
      <c r="G568" s="151"/>
      <c r="H568" s="151"/>
      <c r="I568" s="151"/>
      <c r="J568" s="152"/>
      <c r="K568" s="152"/>
      <c r="L568" s="152"/>
      <c r="M568" s="152"/>
      <c r="N568" s="150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</row>
    <row r="569" customFormat="false" ht="11.25" hidden="false" customHeight="true" outlineLevel="0" collapsed="false">
      <c r="A569" s="89"/>
      <c r="B569" s="89"/>
      <c r="C569" s="89"/>
      <c r="D569" s="150"/>
      <c r="E569" s="89"/>
      <c r="F569" s="151"/>
      <c r="G569" s="151"/>
      <c r="H569" s="151"/>
      <c r="I569" s="151"/>
      <c r="J569" s="152"/>
      <c r="K569" s="152"/>
      <c r="L569" s="152"/>
      <c r="M569" s="152"/>
      <c r="N569" s="150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</row>
    <row r="570" customFormat="false" ht="11.25" hidden="false" customHeight="true" outlineLevel="0" collapsed="false">
      <c r="A570" s="89"/>
      <c r="B570" s="89"/>
      <c r="C570" s="89"/>
      <c r="D570" s="150"/>
      <c r="E570" s="89"/>
      <c r="F570" s="151"/>
      <c r="G570" s="151"/>
      <c r="H570" s="151"/>
      <c r="I570" s="151"/>
      <c r="J570" s="152"/>
      <c r="K570" s="152"/>
      <c r="L570" s="152"/>
      <c r="M570" s="152"/>
      <c r="N570" s="150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</row>
    <row r="571" customFormat="false" ht="11.25" hidden="false" customHeight="true" outlineLevel="0" collapsed="false">
      <c r="A571" s="89"/>
      <c r="B571" s="89"/>
      <c r="C571" s="89"/>
      <c r="D571" s="150"/>
      <c r="E571" s="89"/>
      <c r="F571" s="151"/>
      <c r="G571" s="151"/>
      <c r="H571" s="151"/>
      <c r="I571" s="151"/>
      <c r="J571" s="152"/>
      <c r="K571" s="152"/>
      <c r="L571" s="152"/>
      <c r="M571" s="152"/>
      <c r="N571" s="150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</row>
    <row r="572" customFormat="false" ht="11.25" hidden="false" customHeight="true" outlineLevel="0" collapsed="false">
      <c r="A572" s="89"/>
      <c r="B572" s="89"/>
      <c r="C572" s="89"/>
      <c r="D572" s="150"/>
      <c r="E572" s="89"/>
      <c r="F572" s="151"/>
      <c r="G572" s="151"/>
      <c r="H572" s="151"/>
      <c r="I572" s="151"/>
      <c r="J572" s="152"/>
      <c r="K572" s="152"/>
      <c r="L572" s="152"/>
      <c r="M572" s="152"/>
      <c r="N572" s="150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</row>
    <row r="573" customFormat="false" ht="11.25" hidden="false" customHeight="true" outlineLevel="0" collapsed="false">
      <c r="A573" s="89"/>
      <c r="B573" s="89"/>
      <c r="C573" s="89"/>
      <c r="D573" s="150"/>
      <c r="E573" s="89"/>
      <c r="F573" s="151"/>
      <c r="G573" s="151"/>
      <c r="H573" s="151"/>
      <c r="I573" s="151"/>
      <c r="J573" s="152"/>
      <c r="K573" s="152"/>
      <c r="L573" s="152"/>
      <c r="M573" s="152"/>
      <c r="N573" s="150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</row>
    <row r="574" customFormat="false" ht="11.25" hidden="false" customHeight="true" outlineLevel="0" collapsed="false">
      <c r="A574" s="89"/>
      <c r="B574" s="89"/>
      <c r="C574" s="89"/>
      <c r="D574" s="150"/>
      <c r="E574" s="89"/>
      <c r="F574" s="151"/>
      <c r="G574" s="151"/>
      <c r="H574" s="151"/>
      <c r="I574" s="151"/>
      <c r="J574" s="152"/>
      <c r="K574" s="152"/>
      <c r="L574" s="152"/>
      <c r="M574" s="152"/>
      <c r="N574" s="150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</row>
    <row r="575" customFormat="false" ht="11.25" hidden="false" customHeight="true" outlineLevel="0" collapsed="false">
      <c r="A575" s="89"/>
      <c r="B575" s="89"/>
      <c r="C575" s="89"/>
      <c r="D575" s="150"/>
      <c r="E575" s="89"/>
      <c r="F575" s="151"/>
      <c r="G575" s="151"/>
      <c r="H575" s="151"/>
      <c r="I575" s="151"/>
      <c r="J575" s="152"/>
      <c r="K575" s="152"/>
      <c r="L575" s="152"/>
      <c r="M575" s="152"/>
      <c r="N575" s="150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</row>
    <row r="576" customFormat="false" ht="11.25" hidden="false" customHeight="true" outlineLevel="0" collapsed="false">
      <c r="A576" s="89"/>
      <c r="B576" s="89"/>
      <c r="C576" s="89"/>
      <c r="D576" s="150"/>
      <c r="E576" s="89"/>
      <c r="F576" s="151"/>
      <c r="G576" s="151"/>
      <c r="H576" s="151"/>
      <c r="I576" s="151"/>
      <c r="J576" s="152"/>
      <c r="K576" s="152"/>
      <c r="L576" s="152"/>
      <c r="M576" s="152"/>
      <c r="N576" s="150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</row>
    <row r="577" customFormat="false" ht="11.25" hidden="false" customHeight="true" outlineLevel="0" collapsed="false">
      <c r="A577" s="89"/>
      <c r="B577" s="89"/>
      <c r="C577" s="89"/>
      <c r="D577" s="150"/>
      <c r="E577" s="89"/>
      <c r="F577" s="151"/>
      <c r="G577" s="151"/>
      <c r="H577" s="151"/>
      <c r="I577" s="151"/>
      <c r="J577" s="152"/>
      <c r="K577" s="152"/>
      <c r="L577" s="152"/>
      <c r="M577" s="152"/>
      <c r="N577" s="150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</row>
    <row r="578" customFormat="false" ht="11.25" hidden="false" customHeight="true" outlineLevel="0" collapsed="false">
      <c r="A578" s="89"/>
      <c r="B578" s="89"/>
      <c r="C578" s="89"/>
      <c r="D578" s="150"/>
      <c r="E578" s="89"/>
      <c r="F578" s="151"/>
      <c r="G578" s="151"/>
      <c r="H578" s="151"/>
      <c r="I578" s="151"/>
      <c r="J578" s="152"/>
      <c r="K578" s="152"/>
      <c r="L578" s="152"/>
      <c r="M578" s="152"/>
      <c r="N578" s="150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</row>
    <row r="579" customFormat="false" ht="11.25" hidden="false" customHeight="true" outlineLevel="0" collapsed="false">
      <c r="A579" s="89"/>
      <c r="B579" s="89"/>
      <c r="C579" s="89"/>
      <c r="D579" s="150"/>
      <c r="E579" s="89"/>
      <c r="F579" s="151"/>
      <c r="G579" s="151"/>
      <c r="H579" s="151"/>
      <c r="I579" s="151"/>
      <c r="J579" s="152"/>
      <c r="K579" s="152"/>
      <c r="L579" s="152"/>
      <c r="M579" s="152"/>
      <c r="N579" s="150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</row>
    <row r="580" customFormat="false" ht="11.25" hidden="false" customHeight="true" outlineLevel="0" collapsed="false">
      <c r="A580" s="89"/>
      <c r="B580" s="89"/>
      <c r="C580" s="89"/>
      <c r="D580" s="150"/>
      <c r="E580" s="89"/>
      <c r="F580" s="151"/>
      <c r="G580" s="151"/>
      <c r="H580" s="151"/>
      <c r="I580" s="151"/>
      <c r="J580" s="152"/>
      <c r="K580" s="152"/>
      <c r="L580" s="152"/>
      <c r="M580" s="152"/>
      <c r="N580" s="150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</row>
    <row r="581" customFormat="false" ht="11.25" hidden="false" customHeight="true" outlineLevel="0" collapsed="false">
      <c r="A581" s="89"/>
      <c r="B581" s="89"/>
      <c r="C581" s="89"/>
      <c r="D581" s="150"/>
      <c r="E581" s="89"/>
      <c r="F581" s="151"/>
      <c r="G581" s="151"/>
      <c r="H581" s="151"/>
      <c r="I581" s="151"/>
      <c r="J581" s="152"/>
      <c r="K581" s="152"/>
      <c r="L581" s="152"/>
      <c r="M581" s="152"/>
      <c r="N581" s="150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</row>
    <row r="582" customFormat="false" ht="11.25" hidden="false" customHeight="true" outlineLevel="0" collapsed="false">
      <c r="A582" s="89"/>
      <c r="B582" s="89"/>
      <c r="C582" s="89"/>
      <c r="D582" s="150"/>
      <c r="E582" s="89"/>
      <c r="F582" s="151"/>
      <c r="G582" s="151"/>
      <c r="H582" s="151"/>
      <c r="I582" s="151"/>
      <c r="J582" s="152"/>
      <c r="K582" s="152"/>
      <c r="L582" s="152"/>
      <c r="M582" s="152"/>
      <c r="N582" s="150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</row>
    <row r="583" customFormat="false" ht="11.25" hidden="false" customHeight="true" outlineLevel="0" collapsed="false">
      <c r="A583" s="89"/>
      <c r="B583" s="89"/>
      <c r="C583" s="89"/>
      <c r="D583" s="150"/>
      <c r="E583" s="89"/>
      <c r="F583" s="151"/>
      <c r="G583" s="151"/>
      <c r="H583" s="151"/>
      <c r="I583" s="151"/>
      <c r="J583" s="152"/>
      <c r="K583" s="152"/>
      <c r="L583" s="152"/>
      <c r="M583" s="152"/>
      <c r="N583" s="150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</row>
    <row r="584" customFormat="false" ht="11.25" hidden="false" customHeight="true" outlineLevel="0" collapsed="false">
      <c r="A584" s="89"/>
      <c r="B584" s="89"/>
      <c r="C584" s="89"/>
      <c r="D584" s="150"/>
      <c r="E584" s="89"/>
      <c r="F584" s="151"/>
      <c r="G584" s="151"/>
      <c r="H584" s="151"/>
      <c r="I584" s="151"/>
      <c r="J584" s="152"/>
      <c r="K584" s="152"/>
      <c r="L584" s="152"/>
      <c r="M584" s="152"/>
      <c r="N584" s="150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</row>
    <row r="585" customFormat="false" ht="11.25" hidden="false" customHeight="true" outlineLevel="0" collapsed="false">
      <c r="A585" s="89"/>
      <c r="B585" s="89"/>
      <c r="C585" s="89"/>
      <c r="D585" s="150"/>
      <c r="E585" s="89"/>
      <c r="F585" s="151"/>
      <c r="G585" s="151"/>
      <c r="H585" s="151"/>
      <c r="I585" s="151"/>
      <c r="J585" s="152"/>
      <c r="K585" s="152"/>
      <c r="L585" s="152"/>
      <c r="M585" s="152"/>
      <c r="N585" s="150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</row>
    <row r="586" customFormat="false" ht="11.25" hidden="false" customHeight="true" outlineLevel="0" collapsed="false">
      <c r="A586" s="89"/>
      <c r="B586" s="89"/>
      <c r="C586" s="89"/>
      <c r="D586" s="150"/>
      <c r="E586" s="89"/>
      <c r="F586" s="151"/>
      <c r="G586" s="151"/>
      <c r="H586" s="151"/>
      <c r="I586" s="151"/>
      <c r="J586" s="152"/>
      <c r="K586" s="152"/>
      <c r="L586" s="152"/>
      <c r="M586" s="152"/>
      <c r="N586" s="150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</row>
    <row r="587" customFormat="false" ht="11.25" hidden="false" customHeight="true" outlineLevel="0" collapsed="false">
      <c r="A587" s="89"/>
      <c r="B587" s="89"/>
      <c r="C587" s="89"/>
      <c r="D587" s="150"/>
      <c r="E587" s="89"/>
      <c r="F587" s="151"/>
      <c r="G587" s="151"/>
      <c r="H587" s="151"/>
      <c r="I587" s="151"/>
      <c r="J587" s="152"/>
      <c r="K587" s="152"/>
      <c r="L587" s="152"/>
      <c r="M587" s="152"/>
      <c r="N587" s="150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</row>
    <row r="588" customFormat="false" ht="11.25" hidden="false" customHeight="true" outlineLevel="0" collapsed="false">
      <c r="A588" s="89"/>
      <c r="B588" s="89"/>
      <c r="C588" s="89"/>
      <c r="D588" s="150"/>
      <c r="E588" s="89"/>
      <c r="F588" s="151"/>
      <c r="G588" s="151"/>
      <c r="H588" s="151"/>
      <c r="I588" s="151"/>
      <c r="J588" s="152"/>
      <c r="K588" s="152"/>
      <c r="L588" s="152"/>
      <c r="M588" s="152"/>
      <c r="N588" s="150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</row>
    <row r="589" customFormat="false" ht="11.25" hidden="false" customHeight="true" outlineLevel="0" collapsed="false">
      <c r="A589" s="89"/>
      <c r="B589" s="89"/>
      <c r="C589" s="89"/>
      <c r="D589" s="150"/>
      <c r="E589" s="89"/>
      <c r="F589" s="151"/>
      <c r="G589" s="151"/>
      <c r="H589" s="151"/>
      <c r="I589" s="151"/>
      <c r="J589" s="152"/>
      <c r="K589" s="152"/>
      <c r="L589" s="152"/>
      <c r="M589" s="152"/>
      <c r="N589" s="150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</row>
    <row r="590" customFormat="false" ht="11.25" hidden="false" customHeight="true" outlineLevel="0" collapsed="false">
      <c r="A590" s="89"/>
      <c r="B590" s="89"/>
      <c r="C590" s="89"/>
      <c r="D590" s="150"/>
      <c r="E590" s="89"/>
      <c r="F590" s="151"/>
      <c r="G590" s="151"/>
      <c r="H590" s="151"/>
      <c r="I590" s="151"/>
      <c r="J590" s="152"/>
      <c r="K590" s="152"/>
      <c r="L590" s="152"/>
      <c r="M590" s="152"/>
      <c r="N590" s="150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</row>
    <row r="591" customFormat="false" ht="11.25" hidden="false" customHeight="true" outlineLevel="0" collapsed="false">
      <c r="A591" s="89"/>
      <c r="B591" s="89"/>
      <c r="C591" s="89"/>
      <c r="D591" s="150"/>
      <c r="E591" s="89"/>
      <c r="F591" s="151"/>
      <c r="G591" s="151"/>
      <c r="H591" s="151"/>
      <c r="I591" s="151"/>
      <c r="J591" s="152"/>
      <c r="K591" s="152"/>
      <c r="L591" s="152"/>
      <c r="M591" s="152"/>
      <c r="N591" s="150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</row>
    <row r="592" customFormat="false" ht="11.25" hidden="false" customHeight="true" outlineLevel="0" collapsed="false">
      <c r="A592" s="89"/>
      <c r="B592" s="89"/>
      <c r="C592" s="89"/>
      <c r="D592" s="150"/>
      <c r="E592" s="89"/>
      <c r="F592" s="151"/>
      <c r="G592" s="151"/>
      <c r="H592" s="151"/>
      <c r="I592" s="151"/>
      <c r="J592" s="152"/>
      <c r="K592" s="152"/>
      <c r="L592" s="152"/>
      <c r="M592" s="152"/>
      <c r="N592" s="150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</row>
    <row r="593" customFormat="false" ht="11.25" hidden="false" customHeight="true" outlineLevel="0" collapsed="false">
      <c r="A593" s="89"/>
      <c r="B593" s="89"/>
      <c r="C593" s="89"/>
      <c r="D593" s="150"/>
      <c r="E593" s="89"/>
      <c r="F593" s="151"/>
      <c r="G593" s="151"/>
      <c r="H593" s="151"/>
      <c r="I593" s="151"/>
      <c r="J593" s="152"/>
      <c r="K593" s="152"/>
      <c r="L593" s="152"/>
      <c r="M593" s="152"/>
      <c r="N593" s="150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</row>
    <row r="594" customFormat="false" ht="11.25" hidden="false" customHeight="true" outlineLevel="0" collapsed="false">
      <c r="A594" s="89"/>
      <c r="B594" s="89"/>
      <c r="C594" s="89"/>
      <c r="D594" s="150"/>
      <c r="E594" s="89"/>
      <c r="F594" s="151"/>
      <c r="G594" s="151"/>
      <c r="H594" s="151"/>
      <c r="I594" s="151"/>
      <c r="J594" s="152"/>
      <c r="K594" s="152"/>
      <c r="L594" s="152"/>
      <c r="M594" s="152"/>
      <c r="N594" s="150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</row>
    <row r="595" customFormat="false" ht="11.25" hidden="false" customHeight="true" outlineLevel="0" collapsed="false">
      <c r="A595" s="89"/>
      <c r="B595" s="89"/>
      <c r="C595" s="89"/>
      <c r="D595" s="150"/>
      <c r="E595" s="89"/>
      <c r="F595" s="151"/>
      <c r="G595" s="151"/>
      <c r="H595" s="151"/>
      <c r="I595" s="151"/>
      <c r="J595" s="152"/>
      <c r="K595" s="152"/>
      <c r="L595" s="152"/>
      <c r="M595" s="152"/>
      <c r="N595" s="150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</row>
    <row r="596" customFormat="false" ht="11.25" hidden="false" customHeight="true" outlineLevel="0" collapsed="false">
      <c r="A596" s="89"/>
      <c r="B596" s="89"/>
      <c r="C596" s="89"/>
      <c r="D596" s="150"/>
      <c r="E596" s="89"/>
      <c r="F596" s="151"/>
      <c r="G596" s="151"/>
      <c r="H596" s="151"/>
      <c r="I596" s="151"/>
      <c r="J596" s="152"/>
      <c r="K596" s="152"/>
      <c r="L596" s="152"/>
      <c r="M596" s="152"/>
      <c r="N596" s="150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</row>
    <row r="597" customFormat="false" ht="11.25" hidden="false" customHeight="true" outlineLevel="0" collapsed="false">
      <c r="A597" s="89"/>
      <c r="B597" s="89"/>
      <c r="C597" s="89"/>
      <c r="D597" s="150"/>
      <c r="E597" s="89"/>
      <c r="F597" s="151"/>
      <c r="G597" s="151"/>
      <c r="H597" s="151"/>
      <c r="I597" s="151"/>
      <c r="J597" s="152"/>
      <c r="K597" s="152"/>
      <c r="L597" s="152"/>
      <c r="M597" s="152"/>
      <c r="N597" s="150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</row>
    <row r="598" customFormat="false" ht="11.25" hidden="false" customHeight="true" outlineLevel="0" collapsed="false">
      <c r="A598" s="89"/>
      <c r="B598" s="89"/>
      <c r="C598" s="89"/>
      <c r="D598" s="150"/>
      <c r="E598" s="89"/>
      <c r="F598" s="151"/>
      <c r="G598" s="151"/>
      <c r="H598" s="151"/>
      <c r="I598" s="151"/>
      <c r="J598" s="152"/>
      <c r="K598" s="152"/>
      <c r="L598" s="152"/>
      <c r="M598" s="152"/>
      <c r="N598" s="150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</row>
    <row r="599" customFormat="false" ht="11.25" hidden="false" customHeight="true" outlineLevel="0" collapsed="false">
      <c r="A599" s="89"/>
      <c r="B599" s="89"/>
      <c r="C599" s="89"/>
      <c r="D599" s="150"/>
      <c r="E599" s="89"/>
      <c r="F599" s="151"/>
      <c r="G599" s="151"/>
      <c r="H599" s="151"/>
      <c r="I599" s="151"/>
      <c r="J599" s="152"/>
      <c r="K599" s="152"/>
      <c r="L599" s="152"/>
      <c r="M599" s="152"/>
      <c r="N599" s="150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</row>
    <row r="600" customFormat="false" ht="11.25" hidden="false" customHeight="true" outlineLevel="0" collapsed="false">
      <c r="A600" s="89"/>
      <c r="B600" s="89"/>
      <c r="C600" s="89"/>
      <c r="D600" s="150"/>
      <c r="E600" s="89"/>
      <c r="F600" s="151"/>
      <c r="G600" s="151"/>
      <c r="H600" s="151"/>
      <c r="I600" s="151"/>
      <c r="J600" s="152"/>
      <c r="K600" s="152"/>
      <c r="L600" s="152"/>
      <c r="M600" s="152"/>
      <c r="N600" s="150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</row>
    <row r="601" customFormat="false" ht="11.25" hidden="false" customHeight="true" outlineLevel="0" collapsed="false">
      <c r="A601" s="89"/>
      <c r="B601" s="89"/>
      <c r="C601" s="89"/>
      <c r="D601" s="150"/>
      <c r="E601" s="89"/>
      <c r="F601" s="151"/>
      <c r="G601" s="151"/>
      <c r="H601" s="151"/>
      <c r="I601" s="151"/>
      <c r="J601" s="152"/>
      <c r="K601" s="152"/>
      <c r="L601" s="152"/>
      <c r="M601" s="152"/>
      <c r="N601" s="150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</row>
    <row r="602" customFormat="false" ht="11.25" hidden="false" customHeight="true" outlineLevel="0" collapsed="false">
      <c r="A602" s="89"/>
      <c r="B602" s="89"/>
      <c r="C602" s="89"/>
      <c r="D602" s="150"/>
      <c r="E602" s="89"/>
      <c r="F602" s="151"/>
      <c r="G602" s="151"/>
      <c r="H602" s="151"/>
      <c r="I602" s="151"/>
      <c r="J602" s="152"/>
      <c r="K602" s="152"/>
      <c r="L602" s="152"/>
      <c r="M602" s="152"/>
      <c r="N602" s="150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</row>
    <row r="603" customFormat="false" ht="11.25" hidden="false" customHeight="true" outlineLevel="0" collapsed="false">
      <c r="A603" s="89"/>
      <c r="B603" s="89"/>
      <c r="C603" s="89"/>
      <c r="D603" s="150"/>
      <c r="E603" s="89"/>
      <c r="F603" s="151"/>
      <c r="G603" s="151"/>
      <c r="H603" s="151"/>
      <c r="I603" s="151"/>
      <c r="J603" s="152"/>
      <c r="K603" s="152"/>
      <c r="L603" s="152"/>
      <c r="M603" s="152"/>
      <c r="N603" s="150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</row>
    <row r="604" customFormat="false" ht="11.25" hidden="false" customHeight="true" outlineLevel="0" collapsed="false">
      <c r="A604" s="89"/>
      <c r="B604" s="89"/>
      <c r="C604" s="89"/>
      <c r="D604" s="150"/>
      <c r="E604" s="89"/>
      <c r="F604" s="151"/>
      <c r="G604" s="151"/>
      <c r="H604" s="151"/>
      <c r="I604" s="151"/>
      <c r="J604" s="152"/>
      <c r="K604" s="152"/>
      <c r="L604" s="152"/>
      <c r="M604" s="152"/>
      <c r="N604" s="150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</row>
    <row r="605" customFormat="false" ht="11.25" hidden="false" customHeight="true" outlineLevel="0" collapsed="false">
      <c r="A605" s="89"/>
      <c r="B605" s="89"/>
      <c r="C605" s="89"/>
      <c r="D605" s="150"/>
      <c r="E605" s="89"/>
      <c r="F605" s="151"/>
      <c r="G605" s="151"/>
      <c r="H605" s="151"/>
      <c r="I605" s="151"/>
      <c r="J605" s="152"/>
      <c r="K605" s="152"/>
      <c r="L605" s="152"/>
      <c r="M605" s="152"/>
      <c r="N605" s="150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</row>
    <row r="606" customFormat="false" ht="11.25" hidden="false" customHeight="true" outlineLevel="0" collapsed="false">
      <c r="A606" s="89"/>
      <c r="B606" s="89"/>
      <c r="C606" s="89"/>
      <c r="D606" s="150"/>
      <c r="E606" s="89"/>
      <c r="F606" s="151"/>
      <c r="G606" s="151"/>
      <c r="H606" s="151"/>
      <c r="I606" s="151"/>
      <c r="J606" s="152"/>
      <c r="K606" s="152"/>
      <c r="L606" s="152"/>
      <c r="M606" s="152"/>
      <c r="N606" s="150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</row>
    <row r="607" customFormat="false" ht="11.25" hidden="false" customHeight="true" outlineLevel="0" collapsed="false">
      <c r="A607" s="89"/>
      <c r="B607" s="89"/>
      <c r="C607" s="89"/>
      <c r="D607" s="150"/>
      <c r="E607" s="89"/>
      <c r="F607" s="151"/>
      <c r="G607" s="151"/>
      <c r="H607" s="151"/>
      <c r="I607" s="151"/>
      <c r="J607" s="152"/>
      <c r="K607" s="152"/>
      <c r="L607" s="152"/>
      <c r="M607" s="152"/>
      <c r="N607" s="150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</row>
    <row r="608" customFormat="false" ht="11.25" hidden="false" customHeight="true" outlineLevel="0" collapsed="false">
      <c r="A608" s="89"/>
      <c r="B608" s="89"/>
      <c r="C608" s="89"/>
      <c r="D608" s="150"/>
      <c r="E608" s="89"/>
      <c r="F608" s="151"/>
      <c r="G608" s="151"/>
      <c r="H608" s="151"/>
      <c r="I608" s="151"/>
      <c r="J608" s="152"/>
      <c r="K608" s="152"/>
      <c r="L608" s="152"/>
      <c r="M608" s="152"/>
      <c r="N608" s="150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</row>
    <row r="609" customFormat="false" ht="11.25" hidden="false" customHeight="true" outlineLevel="0" collapsed="false">
      <c r="A609" s="89"/>
      <c r="B609" s="89"/>
      <c r="C609" s="89"/>
      <c r="D609" s="150"/>
      <c r="E609" s="89"/>
      <c r="F609" s="151"/>
      <c r="G609" s="151"/>
      <c r="H609" s="151"/>
      <c r="I609" s="151"/>
      <c r="J609" s="152"/>
      <c r="K609" s="152"/>
      <c r="L609" s="152"/>
      <c r="M609" s="152"/>
      <c r="N609" s="150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</row>
    <row r="610" customFormat="false" ht="11.25" hidden="false" customHeight="true" outlineLevel="0" collapsed="false">
      <c r="A610" s="89"/>
      <c r="B610" s="89"/>
      <c r="C610" s="89"/>
      <c r="D610" s="150"/>
      <c r="E610" s="89"/>
      <c r="F610" s="151"/>
      <c r="G610" s="151"/>
      <c r="H610" s="151"/>
      <c r="I610" s="151"/>
      <c r="J610" s="152"/>
      <c r="K610" s="152"/>
      <c r="L610" s="152"/>
      <c r="M610" s="152"/>
      <c r="N610" s="150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</row>
    <row r="611" customFormat="false" ht="11.25" hidden="false" customHeight="true" outlineLevel="0" collapsed="false">
      <c r="A611" s="89"/>
      <c r="B611" s="89"/>
      <c r="C611" s="89"/>
      <c r="D611" s="150"/>
      <c r="E611" s="89"/>
      <c r="F611" s="151"/>
      <c r="G611" s="151"/>
      <c r="H611" s="151"/>
      <c r="I611" s="151"/>
      <c r="J611" s="152"/>
      <c r="K611" s="152"/>
      <c r="L611" s="152"/>
      <c r="M611" s="152"/>
      <c r="N611" s="150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</row>
    <row r="612" customFormat="false" ht="11.25" hidden="false" customHeight="true" outlineLevel="0" collapsed="false">
      <c r="A612" s="89"/>
      <c r="B612" s="89"/>
      <c r="C612" s="89"/>
      <c r="D612" s="150"/>
      <c r="E612" s="89"/>
      <c r="F612" s="151"/>
      <c r="G612" s="151"/>
      <c r="H612" s="151"/>
      <c r="I612" s="151"/>
      <c r="J612" s="152"/>
      <c r="K612" s="152"/>
      <c r="L612" s="152"/>
      <c r="M612" s="152"/>
      <c r="N612" s="150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</row>
    <row r="613" customFormat="false" ht="11.25" hidden="false" customHeight="true" outlineLevel="0" collapsed="false">
      <c r="A613" s="89"/>
      <c r="B613" s="89"/>
      <c r="C613" s="89"/>
      <c r="D613" s="150"/>
      <c r="E613" s="89"/>
      <c r="F613" s="151"/>
      <c r="G613" s="151"/>
      <c r="H613" s="151"/>
      <c r="I613" s="151"/>
      <c r="J613" s="152"/>
      <c r="K613" s="152"/>
      <c r="L613" s="152"/>
      <c r="M613" s="152"/>
      <c r="N613" s="150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</row>
    <row r="614" customFormat="false" ht="11.25" hidden="false" customHeight="true" outlineLevel="0" collapsed="false">
      <c r="A614" s="89"/>
      <c r="B614" s="89"/>
      <c r="C614" s="89"/>
      <c r="D614" s="150"/>
      <c r="E614" s="89"/>
      <c r="F614" s="151"/>
      <c r="G614" s="151"/>
      <c r="H614" s="151"/>
      <c r="I614" s="151"/>
      <c r="J614" s="152"/>
      <c r="K614" s="152"/>
      <c r="L614" s="152"/>
      <c r="M614" s="152"/>
      <c r="N614" s="150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</row>
    <row r="615" customFormat="false" ht="11.25" hidden="false" customHeight="true" outlineLevel="0" collapsed="false">
      <c r="A615" s="89"/>
      <c r="B615" s="89"/>
      <c r="C615" s="89"/>
      <c r="D615" s="150"/>
      <c r="E615" s="89"/>
      <c r="F615" s="151"/>
      <c r="G615" s="151"/>
      <c r="H615" s="151"/>
      <c r="I615" s="151"/>
      <c r="J615" s="152"/>
      <c r="K615" s="152"/>
      <c r="L615" s="152"/>
      <c r="M615" s="152"/>
      <c r="N615" s="150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</row>
    <row r="616" customFormat="false" ht="11.25" hidden="false" customHeight="true" outlineLevel="0" collapsed="false">
      <c r="A616" s="89"/>
      <c r="B616" s="89"/>
      <c r="C616" s="89"/>
      <c r="D616" s="150"/>
      <c r="E616" s="89"/>
      <c r="F616" s="151"/>
      <c r="G616" s="151"/>
      <c r="H616" s="151"/>
      <c r="I616" s="151"/>
      <c r="J616" s="152"/>
      <c r="K616" s="152"/>
      <c r="L616" s="152"/>
      <c r="M616" s="152"/>
      <c r="N616" s="150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</row>
    <row r="617" customFormat="false" ht="11.25" hidden="false" customHeight="true" outlineLevel="0" collapsed="false">
      <c r="A617" s="89"/>
      <c r="B617" s="89"/>
      <c r="C617" s="89"/>
      <c r="D617" s="150"/>
      <c r="E617" s="89"/>
      <c r="F617" s="151"/>
      <c r="G617" s="151"/>
      <c r="H617" s="151"/>
      <c r="I617" s="151"/>
      <c r="J617" s="152"/>
      <c r="K617" s="152"/>
      <c r="L617" s="152"/>
      <c r="M617" s="152"/>
      <c r="N617" s="150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</row>
    <row r="618" customFormat="false" ht="11.25" hidden="false" customHeight="true" outlineLevel="0" collapsed="false">
      <c r="A618" s="89"/>
      <c r="B618" s="89"/>
      <c r="C618" s="89"/>
      <c r="D618" s="150"/>
      <c r="E618" s="89"/>
      <c r="F618" s="151"/>
      <c r="G618" s="151"/>
      <c r="H618" s="151"/>
      <c r="I618" s="151"/>
      <c r="J618" s="152"/>
      <c r="K618" s="152"/>
      <c r="L618" s="152"/>
      <c r="M618" s="152"/>
      <c r="N618" s="150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</row>
    <row r="619" customFormat="false" ht="11.25" hidden="false" customHeight="true" outlineLevel="0" collapsed="false">
      <c r="A619" s="89"/>
      <c r="B619" s="89"/>
      <c r="C619" s="89"/>
      <c r="D619" s="150"/>
      <c r="E619" s="89"/>
      <c r="F619" s="151"/>
      <c r="G619" s="151"/>
      <c r="H619" s="151"/>
      <c r="I619" s="151"/>
      <c r="J619" s="152"/>
      <c r="K619" s="152"/>
      <c r="L619" s="152"/>
      <c r="M619" s="152"/>
      <c r="N619" s="150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</row>
    <row r="620" customFormat="false" ht="11.25" hidden="false" customHeight="true" outlineLevel="0" collapsed="false">
      <c r="A620" s="89"/>
      <c r="B620" s="89"/>
      <c r="C620" s="89"/>
      <c r="D620" s="150"/>
      <c r="E620" s="89"/>
      <c r="F620" s="151"/>
      <c r="G620" s="151"/>
      <c r="H620" s="151"/>
      <c r="I620" s="151"/>
      <c r="J620" s="152"/>
      <c r="K620" s="152"/>
      <c r="L620" s="152"/>
      <c r="M620" s="152"/>
      <c r="N620" s="150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</row>
    <row r="621" customFormat="false" ht="11.25" hidden="false" customHeight="true" outlineLevel="0" collapsed="false">
      <c r="A621" s="89"/>
      <c r="B621" s="89"/>
      <c r="C621" s="89"/>
      <c r="D621" s="150"/>
      <c r="E621" s="89"/>
      <c r="F621" s="151"/>
      <c r="G621" s="151"/>
      <c r="H621" s="151"/>
      <c r="I621" s="151"/>
      <c r="J621" s="152"/>
      <c r="K621" s="152"/>
      <c r="L621" s="152"/>
      <c r="M621" s="152"/>
      <c r="N621" s="150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</row>
    <row r="622" customFormat="false" ht="11.25" hidden="false" customHeight="true" outlineLevel="0" collapsed="false">
      <c r="A622" s="89"/>
      <c r="B622" s="89"/>
      <c r="C622" s="89"/>
      <c r="D622" s="150"/>
      <c r="E622" s="89"/>
      <c r="F622" s="151"/>
      <c r="G622" s="151"/>
      <c r="H622" s="151"/>
      <c r="I622" s="151"/>
      <c r="J622" s="152"/>
      <c r="K622" s="152"/>
      <c r="L622" s="152"/>
      <c r="M622" s="152"/>
      <c r="N622" s="150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</row>
    <row r="623" customFormat="false" ht="11.25" hidden="false" customHeight="true" outlineLevel="0" collapsed="false">
      <c r="A623" s="89"/>
      <c r="B623" s="89"/>
      <c r="C623" s="89"/>
      <c r="D623" s="150"/>
      <c r="E623" s="89"/>
      <c r="F623" s="151"/>
      <c r="G623" s="151"/>
      <c r="H623" s="151"/>
      <c r="I623" s="151"/>
      <c r="J623" s="152"/>
      <c r="K623" s="152"/>
      <c r="L623" s="152"/>
      <c r="M623" s="152"/>
      <c r="N623" s="150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</row>
    <row r="624" customFormat="false" ht="11.25" hidden="false" customHeight="true" outlineLevel="0" collapsed="false">
      <c r="A624" s="89"/>
      <c r="B624" s="89"/>
      <c r="C624" s="89"/>
      <c r="D624" s="150"/>
      <c r="E624" s="89"/>
      <c r="F624" s="151"/>
      <c r="G624" s="151"/>
      <c r="H624" s="151"/>
      <c r="I624" s="151"/>
      <c r="J624" s="152"/>
      <c r="K624" s="152"/>
      <c r="L624" s="152"/>
      <c r="M624" s="152"/>
      <c r="N624" s="150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</row>
    <row r="625" customFormat="false" ht="11.25" hidden="false" customHeight="true" outlineLevel="0" collapsed="false">
      <c r="A625" s="89"/>
      <c r="B625" s="89"/>
      <c r="C625" s="89"/>
      <c r="D625" s="150"/>
      <c r="E625" s="89"/>
      <c r="F625" s="151"/>
      <c r="G625" s="151"/>
      <c r="H625" s="151"/>
      <c r="I625" s="151"/>
      <c r="J625" s="152"/>
      <c r="K625" s="152"/>
      <c r="L625" s="152"/>
      <c r="M625" s="152"/>
      <c r="N625" s="150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</row>
    <row r="626" customFormat="false" ht="11.25" hidden="false" customHeight="true" outlineLevel="0" collapsed="false">
      <c r="A626" s="89"/>
      <c r="B626" s="89"/>
      <c r="C626" s="89"/>
      <c r="D626" s="150"/>
      <c r="E626" s="89"/>
      <c r="F626" s="151"/>
      <c r="G626" s="151"/>
      <c r="H626" s="151"/>
      <c r="I626" s="151"/>
      <c r="J626" s="152"/>
      <c r="K626" s="152"/>
      <c r="L626" s="152"/>
      <c r="M626" s="152"/>
      <c r="N626" s="150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</row>
    <row r="627" customFormat="false" ht="11.25" hidden="false" customHeight="true" outlineLevel="0" collapsed="false">
      <c r="A627" s="89"/>
      <c r="B627" s="89"/>
      <c r="C627" s="89"/>
      <c r="D627" s="150"/>
      <c r="E627" s="89"/>
      <c r="F627" s="151"/>
      <c r="G627" s="151"/>
      <c r="H627" s="151"/>
      <c r="I627" s="151"/>
      <c r="J627" s="152"/>
      <c r="K627" s="152"/>
      <c r="L627" s="152"/>
      <c r="M627" s="152"/>
      <c r="N627" s="150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</row>
    <row r="628" customFormat="false" ht="11.25" hidden="false" customHeight="true" outlineLevel="0" collapsed="false">
      <c r="A628" s="89"/>
      <c r="B628" s="89"/>
      <c r="C628" s="89"/>
      <c r="D628" s="150"/>
      <c r="E628" s="89"/>
      <c r="F628" s="151"/>
      <c r="G628" s="151"/>
      <c r="H628" s="151"/>
      <c r="I628" s="151"/>
      <c r="J628" s="152"/>
      <c r="K628" s="152"/>
      <c r="L628" s="152"/>
      <c r="M628" s="152"/>
      <c r="N628" s="150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</row>
    <row r="629" customFormat="false" ht="11.25" hidden="false" customHeight="true" outlineLevel="0" collapsed="false">
      <c r="A629" s="89"/>
      <c r="B629" s="89"/>
      <c r="C629" s="89"/>
      <c r="D629" s="150"/>
      <c r="E629" s="89"/>
      <c r="F629" s="151"/>
      <c r="G629" s="151"/>
      <c r="H629" s="151"/>
      <c r="I629" s="151"/>
      <c r="J629" s="152"/>
      <c r="K629" s="152"/>
      <c r="L629" s="152"/>
      <c r="M629" s="152"/>
      <c r="N629" s="150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</row>
    <row r="630" customFormat="false" ht="11.25" hidden="false" customHeight="true" outlineLevel="0" collapsed="false">
      <c r="A630" s="89"/>
      <c r="B630" s="89"/>
      <c r="C630" s="89"/>
      <c r="D630" s="150"/>
      <c r="E630" s="89"/>
      <c r="F630" s="151"/>
      <c r="G630" s="151"/>
      <c r="H630" s="151"/>
      <c r="I630" s="151"/>
      <c r="J630" s="152"/>
      <c r="K630" s="152"/>
      <c r="L630" s="152"/>
      <c r="M630" s="152"/>
      <c r="N630" s="150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</row>
    <row r="631" customFormat="false" ht="11.25" hidden="false" customHeight="true" outlineLevel="0" collapsed="false">
      <c r="A631" s="89"/>
      <c r="B631" s="89"/>
      <c r="C631" s="89"/>
      <c r="D631" s="150"/>
      <c r="E631" s="89"/>
      <c r="F631" s="151"/>
      <c r="G631" s="151"/>
      <c r="H631" s="151"/>
      <c r="I631" s="151"/>
      <c r="J631" s="152"/>
      <c r="K631" s="152"/>
      <c r="L631" s="152"/>
      <c r="M631" s="152"/>
      <c r="N631" s="150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</row>
    <row r="632" customFormat="false" ht="11.25" hidden="false" customHeight="true" outlineLevel="0" collapsed="false">
      <c r="A632" s="89"/>
      <c r="B632" s="89"/>
      <c r="C632" s="89"/>
      <c r="D632" s="150"/>
      <c r="E632" s="89"/>
      <c r="F632" s="151"/>
      <c r="G632" s="151"/>
      <c r="H632" s="151"/>
      <c r="I632" s="151"/>
      <c r="J632" s="152"/>
      <c r="K632" s="152"/>
      <c r="L632" s="152"/>
      <c r="M632" s="152"/>
      <c r="N632" s="150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</row>
    <row r="633" customFormat="false" ht="11.25" hidden="false" customHeight="true" outlineLevel="0" collapsed="false">
      <c r="A633" s="89"/>
      <c r="B633" s="89"/>
      <c r="C633" s="89"/>
      <c r="D633" s="150"/>
      <c r="E633" s="89"/>
      <c r="F633" s="151"/>
      <c r="G633" s="151"/>
      <c r="H633" s="151"/>
      <c r="I633" s="151"/>
      <c r="J633" s="152"/>
      <c r="K633" s="152"/>
      <c r="L633" s="152"/>
      <c r="M633" s="152"/>
      <c r="N633" s="150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</row>
    <row r="634" customFormat="false" ht="11.25" hidden="false" customHeight="true" outlineLevel="0" collapsed="false">
      <c r="A634" s="89"/>
      <c r="B634" s="89"/>
      <c r="C634" s="89"/>
      <c r="D634" s="150"/>
      <c r="E634" s="89"/>
      <c r="F634" s="151"/>
      <c r="G634" s="151"/>
      <c r="H634" s="151"/>
      <c r="I634" s="151"/>
      <c r="J634" s="152"/>
      <c r="K634" s="152"/>
      <c r="L634" s="152"/>
      <c r="M634" s="152"/>
      <c r="N634" s="150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</row>
    <row r="635" customFormat="false" ht="11.25" hidden="false" customHeight="true" outlineLevel="0" collapsed="false">
      <c r="A635" s="89"/>
      <c r="B635" s="89"/>
      <c r="C635" s="89"/>
      <c r="D635" s="150"/>
      <c r="E635" s="89"/>
      <c r="F635" s="151"/>
      <c r="G635" s="151"/>
      <c r="H635" s="151"/>
      <c r="I635" s="151"/>
      <c r="J635" s="152"/>
      <c r="K635" s="152"/>
      <c r="L635" s="152"/>
      <c r="M635" s="152"/>
      <c r="N635" s="150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</row>
    <row r="636" customFormat="false" ht="11.25" hidden="false" customHeight="true" outlineLevel="0" collapsed="false">
      <c r="A636" s="89"/>
      <c r="B636" s="89"/>
      <c r="C636" s="89"/>
      <c r="D636" s="150"/>
      <c r="E636" s="89"/>
      <c r="F636" s="151"/>
      <c r="G636" s="151"/>
      <c r="H636" s="151"/>
      <c r="I636" s="151"/>
      <c r="J636" s="152"/>
      <c r="K636" s="152"/>
      <c r="L636" s="152"/>
      <c r="M636" s="152"/>
      <c r="N636" s="150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</row>
    <row r="637" customFormat="false" ht="11.25" hidden="false" customHeight="true" outlineLevel="0" collapsed="false">
      <c r="A637" s="89"/>
      <c r="B637" s="89"/>
      <c r="C637" s="89"/>
      <c r="D637" s="150"/>
      <c r="E637" s="89"/>
      <c r="F637" s="151"/>
      <c r="G637" s="151"/>
      <c r="H637" s="151"/>
      <c r="I637" s="151"/>
      <c r="J637" s="152"/>
      <c r="K637" s="152"/>
      <c r="L637" s="152"/>
      <c r="M637" s="152"/>
      <c r="N637" s="150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</row>
    <row r="638" customFormat="false" ht="11.25" hidden="false" customHeight="true" outlineLevel="0" collapsed="false">
      <c r="A638" s="89"/>
      <c r="B638" s="89"/>
      <c r="C638" s="89"/>
      <c r="D638" s="150"/>
      <c r="E638" s="89"/>
      <c r="F638" s="151"/>
      <c r="G638" s="151"/>
      <c r="H638" s="151"/>
      <c r="I638" s="151"/>
      <c r="J638" s="152"/>
      <c r="K638" s="152"/>
      <c r="L638" s="152"/>
      <c r="M638" s="152"/>
      <c r="N638" s="150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</row>
    <row r="639" customFormat="false" ht="11.25" hidden="false" customHeight="true" outlineLevel="0" collapsed="false">
      <c r="A639" s="89"/>
      <c r="B639" s="89"/>
      <c r="C639" s="89"/>
      <c r="D639" s="150"/>
      <c r="E639" s="89"/>
      <c r="F639" s="151"/>
      <c r="G639" s="151"/>
      <c r="H639" s="151"/>
      <c r="I639" s="151"/>
      <c r="J639" s="152"/>
      <c r="K639" s="152"/>
      <c r="L639" s="152"/>
      <c r="M639" s="152"/>
      <c r="N639" s="150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</row>
    <row r="640" customFormat="false" ht="11.25" hidden="false" customHeight="true" outlineLevel="0" collapsed="false">
      <c r="A640" s="89"/>
      <c r="B640" s="89"/>
      <c r="C640" s="89"/>
      <c r="D640" s="150"/>
      <c r="E640" s="89"/>
      <c r="F640" s="151"/>
      <c r="G640" s="151"/>
      <c r="H640" s="151"/>
      <c r="I640" s="151"/>
      <c r="J640" s="152"/>
      <c r="K640" s="152"/>
      <c r="L640" s="152"/>
      <c r="M640" s="152"/>
      <c r="N640" s="150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</row>
    <row r="641" customFormat="false" ht="11.25" hidden="false" customHeight="true" outlineLevel="0" collapsed="false">
      <c r="A641" s="89"/>
      <c r="B641" s="89"/>
      <c r="C641" s="89"/>
      <c r="D641" s="150"/>
      <c r="E641" s="89"/>
      <c r="F641" s="151"/>
      <c r="G641" s="151"/>
      <c r="H641" s="151"/>
      <c r="I641" s="151"/>
      <c r="J641" s="152"/>
      <c r="K641" s="152"/>
      <c r="L641" s="152"/>
      <c r="M641" s="152"/>
      <c r="N641" s="150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</row>
    <row r="642" customFormat="false" ht="11.25" hidden="false" customHeight="true" outlineLevel="0" collapsed="false">
      <c r="A642" s="89"/>
      <c r="B642" s="89"/>
      <c r="C642" s="89"/>
      <c r="D642" s="150"/>
      <c r="E642" s="89"/>
      <c r="F642" s="151"/>
      <c r="G642" s="151"/>
      <c r="H642" s="151"/>
      <c r="I642" s="151"/>
      <c r="J642" s="152"/>
      <c r="K642" s="152"/>
      <c r="L642" s="152"/>
      <c r="M642" s="152"/>
      <c r="N642" s="150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</row>
    <row r="643" customFormat="false" ht="11.25" hidden="false" customHeight="true" outlineLevel="0" collapsed="false">
      <c r="A643" s="89"/>
      <c r="B643" s="89"/>
      <c r="C643" s="89"/>
      <c r="D643" s="150"/>
      <c r="E643" s="89"/>
      <c r="F643" s="151"/>
      <c r="G643" s="151"/>
      <c r="H643" s="151"/>
      <c r="I643" s="151"/>
      <c r="J643" s="152"/>
      <c r="K643" s="152"/>
      <c r="L643" s="152"/>
      <c r="M643" s="152"/>
      <c r="N643" s="150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</row>
    <row r="644" customFormat="false" ht="11.25" hidden="false" customHeight="true" outlineLevel="0" collapsed="false">
      <c r="A644" s="89"/>
      <c r="B644" s="89"/>
      <c r="C644" s="89"/>
      <c r="D644" s="150"/>
      <c r="E644" s="89"/>
      <c r="F644" s="151"/>
      <c r="G644" s="151"/>
      <c r="H644" s="151"/>
      <c r="I644" s="151"/>
      <c r="J644" s="152"/>
      <c r="K644" s="152"/>
      <c r="L644" s="152"/>
      <c r="M644" s="152"/>
      <c r="N644" s="150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</row>
    <row r="645" customFormat="false" ht="11.25" hidden="false" customHeight="true" outlineLevel="0" collapsed="false">
      <c r="A645" s="89"/>
      <c r="B645" s="89"/>
      <c r="C645" s="89"/>
      <c r="D645" s="150"/>
      <c r="E645" s="89"/>
      <c r="F645" s="151"/>
      <c r="G645" s="151"/>
      <c r="H645" s="151"/>
      <c r="I645" s="151"/>
      <c r="J645" s="152"/>
      <c r="K645" s="152"/>
      <c r="L645" s="152"/>
      <c r="M645" s="152"/>
      <c r="N645" s="150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</row>
    <row r="646" customFormat="false" ht="11.25" hidden="false" customHeight="true" outlineLevel="0" collapsed="false">
      <c r="A646" s="89"/>
      <c r="B646" s="89"/>
      <c r="C646" s="89"/>
      <c r="D646" s="150"/>
      <c r="E646" s="89"/>
      <c r="F646" s="151"/>
      <c r="G646" s="151"/>
      <c r="H646" s="151"/>
      <c r="I646" s="151"/>
      <c r="J646" s="152"/>
      <c r="K646" s="152"/>
      <c r="L646" s="152"/>
      <c r="M646" s="152"/>
      <c r="N646" s="150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</row>
    <row r="647" customFormat="false" ht="11.25" hidden="false" customHeight="true" outlineLevel="0" collapsed="false">
      <c r="A647" s="89"/>
      <c r="B647" s="89"/>
      <c r="C647" s="89"/>
      <c r="D647" s="150"/>
      <c r="E647" s="89"/>
      <c r="F647" s="151"/>
      <c r="G647" s="151"/>
      <c r="H647" s="151"/>
      <c r="I647" s="151"/>
      <c r="J647" s="152"/>
      <c r="K647" s="152"/>
      <c r="L647" s="152"/>
      <c r="M647" s="152"/>
      <c r="N647" s="150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</row>
    <row r="648" customFormat="false" ht="11.25" hidden="false" customHeight="true" outlineLevel="0" collapsed="false">
      <c r="A648" s="89"/>
      <c r="B648" s="89"/>
      <c r="C648" s="89"/>
      <c r="D648" s="150"/>
      <c r="E648" s="89"/>
      <c r="F648" s="151"/>
      <c r="G648" s="151"/>
      <c r="H648" s="151"/>
      <c r="I648" s="151"/>
      <c r="J648" s="152"/>
      <c r="K648" s="152"/>
      <c r="L648" s="152"/>
      <c r="M648" s="152"/>
      <c r="N648" s="150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</row>
    <row r="649" customFormat="false" ht="11.25" hidden="false" customHeight="true" outlineLevel="0" collapsed="false">
      <c r="A649" s="89"/>
      <c r="B649" s="89"/>
      <c r="C649" s="89"/>
      <c r="D649" s="150"/>
      <c r="E649" s="89"/>
      <c r="F649" s="151"/>
      <c r="G649" s="151"/>
      <c r="H649" s="151"/>
      <c r="I649" s="151"/>
      <c r="J649" s="152"/>
      <c r="K649" s="152"/>
      <c r="L649" s="152"/>
      <c r="M649" s="152"/>
      <c r="N649" s="150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</row>
    <row r="650" customFormat="false" ht="11.25" hidden="false" customHeight="true" outlineLevel="0" collapsed="false">
      <c r="A650" s="89"/>
      <c r="B650" s="89"/>
      <c r="C650" s="89"/>
      <c r="D650" s="150"/>
      <c r="E650" s="89"/>
      <c r="F650" s="151"/>
      <c r="G650" s="151"/>
      <c r="H650" s="151"/>
      <c r="I650" s="151"/>
      <c r="J650" s="152"/>
      <c r="K650" s="152"/>
      <c r="L650" s="152"/>
      <c r="M650" s="152"/>
      <c r="N650" s="150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</row>
    <row r="651" customFormat="false" ht="11.25" hidden="false" customHeight="true" outlineLevel="0" collapsed="false">
      <c r="A651" s="89"/>
      <c r="B651" s="89"/>
      <c r="C651" s="89"/>
      <c r="D651" s="150"/>
      <c r="E651" s="89"/>
      <c r="F651" s="151"/>
      <c r="G651" s="151"/>
      <c r="H651" s="151"/>
      <c r="I651" s="151"/>
      <c r="J651" s="152"/>
      <c r="K651" s="152"/>
      <c r="L651" s="152"/>
      <c r="M651" s="152"/>
      <c r="N651" s="150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</row>
    <row r="652" customFormat="false" ht="11.25" hidden="false" customHeight="true" outlineLevel="0" collapsed="false">
      <c r="A652" s="89"/>
      <c r="B652" s="89"/>
      <c r="C652" s="89"/>
      <c r="D652" s="150"/>
      <c r="E652" s="89"/>
      <c r="F652" s="151"/>
      <c r="G652" s="151"/>
      <c r="H652" s="151"/>
      <c r="I652" s="151"/>
      <c r="J652" s="152"/>
      <c r="K652" s="152"/>
      <c r="L652" s="152"/>
      <c r="M652" s="152"/>
      <c r="N652" s="150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</row>
    <row r="653" customFormat="false" ht="11.25" hidden="false" customHeight="true" outlineLevel="0" collapsed="false">
      <c r="A653" s="89"/>
      <c r="B653" s="89"/>
      <c r="C653" s="89"/>
      <c r="D653" s="150"/>
      <c r="E653" s="89"/>
      <c r="F653" s="151"/>
      <c r="G653" s="151"/>
      <c r="H653" s="151"/>
      <c r="I653" s="151"/>
      <c r="J653" s="152"/>
      <c r="K653" s="152"/>
      <c r="L653" s="152"/>
      <c r="M653" s="152"/>
      <c r="N653" s="150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</row>
    <row r="654" customFormat="false" ht="11.25" hidden="false" customHeight="true" outlineLevel="0" collapsed="false">
      <c r="A654" s="89"/>
      <c r="B654" s="89"/>
      <c r="C654" s="89"/>
      <c r="D654" s="150"/>
      <c r="E654" s="89"/>
      <c r="F654" s="151"/>
      <c r="G654" s="151"/>
      <c r="H654" s="151"/>
      <c r="I654" s="151"/>
      <c r="J654" s="152"/>
      <c r="K654" s="152"/>
      <c r="L654" s="152"/>
      <c r="M654" s="152"/>
      <c r="N654" s="150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</row>
    <row r="655" customFormat="false" ht="11.25" hidden="false" customHeight="true" outlineLevel="0" collapsed="false">
      <c r="A655" s="89"/>
      <c r="B655" s="89"/>
      <c r="C655" s="89"/>
      <c r="D655" s="150"/>
      <c r="E655" s="89"/>
      <c r="F655" s="151"/>
      <c r="G655" s="151"/>
      <c r="H655" s="151"/>
      <c r="I655" s="151"/>
      <c r="J655" s="152"/>
      <c r="K655" s="152"/>
      <c r="L655" s="152"/>
      <c r="M655" s="152"/>
      <c r="N655" s="150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</row>
    <row r="656" customFormat="false" ht="11.25" hidden="false" customHeight="true" outlineLevel="0" collapsed="false">
      <c r="A656" s="89"/>
      <c r="B656" s="89"/>
      <c r="C656" s="89"/>
      <c r="D656" s="150"/>
      <c r="E656" s="89"/>
      <c r="F656" s="151"/>
      <c r="G656" s="151"/>
      <c r="H656" s="151"/>
      <c r="I656" s="151"/>
      <c r="J656" s="152"/>
      <c r="K656" s="152"/>
      <c r="L656" s="152"/>
      <c r="M656" s="152"/>
      <c r="N656" s="150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</row>
    <row r="657" customFormat="false" ht="11.25" hidden="false" customHeight="true" outlineLevel="0" collapsed="false">
      <c r="A657" s="89"/>
      <c r="B657" s="89"/>
      <c r="C657" s="89"/>
      <c r="D657" s="150"/>
      <c r="E657" s="89"/>
      <c r="F657" s="151"/>
      <c r="G657" s="151"/>
      <c r="H657" s="151"/>
      <c r="I657" s="151"/>
      <c r="J657" s="152"/>
      <c r="K657" s="152"/>
      <c r="L657" s="152"/>
      <c r="M657" s="152"/>
      <c r="N657" s="150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</row>
    <row r="658" customFormat="false" ht="11.25" hidden="false" customHeight="true" outlineLevel="0" collapsed="false">
      <c r="A658" s="89"/>
      <c r="B658" s="89"/>
      <c r="C658" s="89"/>
      <c r="D658" s="150"/>
      <c r="E658" s="89"/>
      <c r="F658" s="151"/>
      <c r="G658" s="151"/>
      <c r="H658" s="151"/>
      <c r="I658" s="151"/>
      <c r="J658" s="152"/>
      <c r="K658" s="152"/>
      <c r="L658" s="152"/>
      <c r="M658" s="152"/>
      <c r="N658" s="150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</row>
    <row r="659" customFormat="false" ht="11.25" hidden="false" customHeight="true" outlineLevel="0" collapsed="false">
      <c r="A659" s="89"/>
      <c r="B659" s="89"/>
      <c r="C659" s="89"/>
      <c r="D659" s="150"/>
      <c r="E659" s="89"/>
      <c r="F659" s="151"/>
      <c r="G659" s="151"/>
      <c r="H659" s="151"/>
      <c r="I659" s="151"/>
      <c r="J659" s="152"/>
      <c r="K659" s="152"/>
      <c r="L659" s="152"/>
      <c r="M659" s="152"/>
      <c r="N659" s="150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</row>
    <row r="660" customFormat="false" ht="11.25" hidden="false" customHeight="true" outlineLevel="0" collapsed="false">
      <c r="A660" s="89"/>
      <c r="B660" s="89"/>
      <c r="C660" s="89"/>
      <c r="D660" s="150"/>
      <c r="E660" s="89"/>
      <c r="F660" s="151"/>
      <c r="G660" s="151"/>
      <c r="H660" s="151"/>
      <c r="I660" s="151"/>
      <c r="J660" s="152"/>
      <c r="K660" s="152"/>
      <c r="L660" s="152"/>
      <c r="M660" s="152"/>
      <c r="N660" s="150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</row>
    <row r="661" customFormat="false" ht="11.25" hidden="false" customHeight="true" outlineLevel="0" collapsed="false">
      <c r="A661" s="89"/>
      <c r="B661" s="89"/>
      <c r="C661" s="89"/>
      <c r="D661" s="150"/>
      <c r="E661" s="89"/>
      <c r="F661" s="151"/>
      <c r="G661" s="151"/>
      <c r="H661" s="151"/>
      <c r="I661" s="151"/>
      <c r="J661" s="152"/>
      <c r="K661" s="152"/>
      <c r="L661" s="152"/>
      <c r="M661" s="152"/>
      <c r="N661" s="150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</row>
    <row r="662" customFormat="false" ht="11.25" hidden="false" customHeight="true" outlineLevel="0" collapsed="false">
      <c r="A662" s="89"/>
      <c r="B662" s="89"/>
      <c r="C662" s="89"/>
      <c r="D662" s="150"/>
      <c r="E662" s="89"/>
      <c r="F662" s="151"/>
      <c r="G662" s="151"/>
      <c r="H662" s="151"/>
      <c r="I662" s="151"/>
      <c r="J662" s="152"/>
      <c r="K662" s="152"/>
      <c r="L662" s="152"/>
      <c r="M662" s="152"/>
      <c r="N662" s="150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</row>
    <row r="663" customFormat="false" ht="11.25" hidden="false" customHeight="true" outlineLevel="0" collapsed="false">
      <c r="A663" s="89"/>
      <c r="B663" s="89"/>
      <c r="C663" s="89"/>
      <c r="D663" s="150"/>
      <c r="E663" s="89"/>
      <c r="F663" s="151"/>
      <c r="G663" s="151"/>
      <c r="H663" s="151"/>
      <c r="I663" s="151"/>
      <c r="J663" s="152"/>
      <c r="K663" s="152"/>
      <c r="L663" s="152"/>
      <c r="M663" s="152"/>
      <c r="N663" s="150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</row>
    <row r="664" customFormat="false" ht="11.25" hidden="false" customHeight="true" outlineLevel="0" collapsed="false">
      <c r="A664" s="89"/>
      <c r="B664" s="89"/>
      <c r="C664" s="89"/>
      <c r="D664" s="150"/>
      <c r="E664" s="89"/>
      <c r="F664" s="151"/>
      <c r="G664" s="151"/>
      <c r="H664" s="151"/>
      <c r="I664" s="151"/>
      <c r="J664" s="152"/>
      <c r="K664" s="152"/>
      <c r="L664" s="152"/>
      <c r="M664" s="152"/>
      <c r="N664" s="150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</row>
    <row r="665" customFormat="false" ht="11.25" hidden="false" customHeight="true" outlineLevel="0" collapsed="false">
      <c r="A665" s="89"/>
      <c r="B665" s="89"/>
      <c r="C665" s="89"/>
      <c r="D665" s="150"/>
      <c r="E665" s="89"/>
      <c r="F665" s="151"/>
      <c r="G665" s="151"/>
      <c r="H665" s="151"/>
      <c r="I665" s="151"/>
      <c r="J665" s="152"/>
      <c r="K665" s="152"/>
      <c r="L665" s="152"/>
      <c r="M665" s="152"/>
      <c r="N665" s="150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</row>
    <row r="666" customFormat="false" ht="11.25" hidden="false" customHeight="true" outlineLevel="0" collapsed="false">
      <c r="A666" s="89"/>
      <c r="B666" s="89"/>
      <c r="C666" s="89"/>
      <c r="D666" s="150"/>
      <c r="E666" s="89"/>
      <c r="F666" s="151"/>
      <c r="G666" s="151"/>
      <c r="H666" s="151"/>
      <c r="I666" s="151"/>
      <c r="J666" s="152"/>
      <c r="K666" s="152"/>
      <c r="L666" s="152"/>
      <c r="M666" s="152"/>
      <c r="N666" s="150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</row>
    <row r="667" customFormat="false" ht="11.25" hidden="false" customHeight="true" outlineLevel="0" collapsed="false">
      <c r="A667" s="89"/>
      <c r="B667" s="89"/>
      <c r="C667" s="89"/>
      <c r="D667" s="150"/>
      <c r="E667" s="89"/>
      <c r="F667" s="151"/>
      <c r="G667" s="151"/>
      <c r="H667" s="151"/>
      <c r="I667" s="151"/>
      <c r="J667" s="152"/>
      <c r="K667" s="152"/>
      <c r="L667" s="152"/>
      <c r="M667" s="152"/>
      <c r="N667" s="150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</row>
    <row r="668" customFormat="false" ht="11.25" hidden="false" customHeight="true" outlineLevel="0" collapsed="false">
      <c r="A668" s="89"/>
      <c r="B668" s="89"/>
      <c r="C668" s="89"/>
      <c r="D668" s="150"/>
      <c r="E668" s="89"/>
      <c r="F668" s="151"/>
      <c r="G668" s="151"/>
      <c r="H668" s="151"/>
      <c r="I668" s="151"/>
      <c r="J668" s="152"/>
      <c r="K668" s="152"/>
      <c r="L668" s="152"/>
      <c r="M668" s="152"/>
      <c r="N668" s="150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</row>
    <row r="669" customFormat="false" ht="11.25" hidden="false" customHeight="true" outlineLevel="0" collapsed="false">
      <c r="A669" s="89"/>
      <c r="B669" s="89"/>
      <c r="C669" s="89"/>
      <c r="D669" s="150"/>
      <c r="E669" s="89"/>
      <c r="F669" s="151"/>
      <c r="G669" s="151"/>
      <c r="H669" s="151"/>
      <c r="I669" s="151"/>
      <c r="J669" s="152"/>
      <c r="K669" s="152"/>
      <c r="L669" s="152"/>
      <c r="M669" s="152"/>
      <c r="N669" s="150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</row>
    <row r="670" customFormat="false" ht="11.25" hidden="false" customHeight="true" outlineLevel="0" collapsed="false">
      <c r="A670" s="89"/>
      <c r="B670" s="89"/>
      <c r="C670" s="89"/>
      <c r="D670" s="150"/>
      <c r="E670" s="89"/>
      <c r="F670" s="151"/>
      <c r="G670" s="151"/>
      <c r="H670" s="151"/>
      <c r="I670" s="151"/>
      <c r="J670" s="152"/>
      <c r="K670" s="152"/>
      <c r="L670" s="152"/>
      <c r="M670" s="152"/>
      <c r="N670" s="150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</row>
    <row r="671" customFormat="false" ht="11.25" hidden="false" customHeight="true" outlineLevel="0" collapsed="false">
      <c r="A671" s="89"/>
      <c r="B671" s="89"/>
      <c r="C671" s="89"/>
      <c r="D671" s="150"/>
      <c r="E671" s="89"/>
      <c r="F671" s="151"/>
      <c r="G671" s="151"/>
      <c r="H671" s="151"/>
      <c r="I671" s="151"/>
      <c r="J671" s="152"/>
      <c r="K671" s="152"/>
      <c r="L671" s="152"/>
      <c r="M671" s="152"/>
      <c r="N671" s="150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</row>
    <row r="672" customFormat="false" ht="11.25" hidden="false" customHeight="true" outlineLevel="0" collapsed="false">
      <c r="A672" s="89"/>
      <c r="B672" s="89"/>
      <c r="C672" s="89"/>
      <c r="D672" s="150"/>
      <c r="E672" s="89"/>
      <c r="F672" s="151"/>
      <c r="G672" s="151"/>
      <c r="H672" s="151"/>
      <c r="I672" s="151"/>
      <c r="J672" s="152"/>
      <c r="K672" s="152"/>
      <c r="L672" s="152"/>
      <c r="M672" s="152"/>
      <c r="N672" s="150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</row>
    <row r="673" customFormat="false" ht="11.25" hidden="false" customHeight="true" outlineLevel="0" collapsed="false">
      <c r="A673" s="89"/>
      <c r="B673" s="89"/>
      <c r="C673" s="89"/>
      <c r="D673" s="150"/>
      <c r="E673" s="89"/>
      <c r="F673" s="151"/>
      <c r="G673" s="151"/>
      <c r="H673" s="151"/>
      <c r="I673" s="151"/>
      <c r="J673" s="152"/>
      <c r="K673" s="152"/>
      <c r="L673" s="152"/>
      <c r="M673" s="152"/>
      <c r="N673" s="150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</row>
    <row r="674" customFormat="false" ht="11.25" hidden="false" customHeight="true" outlineLevel="0" collapsed="false">
      <c r="A674" s="89"/>
      <c r="B674" s="89"/>
      <c r="C674" s="89"/>
      <c r="D674" s="150"/>
      <c r="E674" s="89"/>
      <c r="F674" s="151"/>
      <c r="G674" s="151"/>
      <c r="H674" s="151"/>
      <c r="I674" s="151"/>
      <c r="J674" s="152"/>
      <c r="K674" s="152"/>
      <c r="L674" s="152"/>
      <c r="M674" s="152"/>
      <c r="N674" s="150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</row>
    <row r="675" customFormat="false" ht="11.25" hidden="false" customHeight="true" outlineLevel="0" collapsed="false">
      <c r="A675" s="89"/>
      <c r="B675" s="89"/>
      <c r="C675" s="89"/>
      <c r="D675" s="150"/>
      <c r="E675" s="89"/>
      <c r="F675" s="151"/>
      <c r="G675" s="151"/>
      <c r="H675" s="151"/>
      <c r="I675" s="151"/>
      <c r="J675" s="152"/>
      <c r="K675" s="152"/>
      <c r="L675" s="152"/>
      <c r="M675" s="152"/>
      <c r="N675" s="150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</row>
    <row r="676" customFormat="false" ht="11.25" hidden="false" customHeight="true" outlineLevel="0" collapsed="false">
      <c r="A676" s="89"/>
      <c r="B676" s="89"/>
      <c r="C676" s="89"/>
      <c r="D676" s="150"/>
      <c r="E676" s="89"/>
      <c r="F676" s="151"/>
      <c r="G676" s="151"/>
      <c r="H676" s="151"/>
      <c r="I676" s="151"/>
      <c r="J676" s="152"/>
      <c r="K676" s="152"/>
      <c r="L676" s="152"/>
      <c r="M676" s="152"/>
      <c r="N676" s="150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</row>
    <row r="677" customFormat="false" ht="11.25" hidden="false" customHeight="true" outlineLevel="0" collapsed="false">
      <c r="A677" s="89"/>
      <c r="B677" s="89"/>
      <c r="C677" s="89"/>
      <c r="D677" s="150"/>
      <c r="E677" s="89"/>
      <c r="F677" s="151"/>
      <c r="G677" s="151"/>
      <c r="H677" s="151"/>
      <c r="I677" s="151"/>
      <c r="J677" s="152"/>
      <c r="K677" s="152"/>
      <c r="L677" s="152"/>
      <c r="M677" s="152"/>
      <c r="N677" s="150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</row>
    <row r="678" customFormat="false" ht="11.25" hidden="false" customHeight="true" outlineLevel="0" collapsed="false">
      <c r="A678" s="89"/>
      <c r="B678" s="89"/>
      <c r="C678" s="89"/>
      <c r="D678" s="150"/>
      <c r="E678" s="89"/>
      <c r="F678" s="151"/>
      <c r="G678" s="151"/>
      <c r="H678" s="151"/>
      <c r="I678" s="151"/>
      <c r="J678" s="152"/>
      <c r="K678" s="152"/>
      <c r="L678" s="152"/>
      <c r="M678" s="152"/>
      <c r="N678" s="150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</row>
    <row r="679" customFormat="false" ht="11.25" hidden="false" customHeight="true" outlineLevel="0" collapsed="false">
      <c r="A679" s="89"/>
      <c r="B679" s="89"/>
      <c r="C679" s="89"/>
      <c r="D679" s="150"/>
      <c r="E679" s="89"/>
      <c r="F679" s="151"/>
      <c r="G679" s="151"/>
      <c r="H679" s="151"/>
      <c r="I679" s="151"/>
      <c r="J679" s="152"/>
      <c r="K679" s="152"/>
      <c r="L679" s="152"/>
      <c r="M679" s="152"/>
      <c r="N679" s="150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</row>
    <row r="680" customFormat="false" ht="11.25" hidden="false" customHeight="true" outlineLevel="0" collapsed="false">
      <c r="A680" s="89"/>
      <c r="B680" s="89"/>
      <c r="C680" s="89"/>
      <c r="D680" s="150"/>
      <c r="E680" s="89"/>
      <c r="F680" s="151"/>
      <c r="G680" s="151"/>
      <c r="H680" s="151"/>
      <c r="I680" s="151"/>
      <c r="J680" s="152"/>
      <c r="K680" s="152"/>
      <c r="L680" s="152"/>
      <c r="M680" s="152"/>
      <c r="N680" s="150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</row>
    <row r="681" customFormat="false" ht="11.25" hidden="false" customHeight="true" outlineLevel="0" collapsed="false">
      <c r="A681" s="89"/>
      <c r="B681" s="89"/>
      <c r="C681" s="89"/>
      <c r="D681" s="150"/>
      <c r="E681" s="89"/>
      <c r="F681" s="151"/>
      <c r="G681" s="151"/>
      <c r="H681" s="151"/>
      <c r="I681" s="151"/>
      <c r="J681" s="152"/>
      <c r="K681" s="152"/>
      <c r="L681" s="152"/>
      <c r="M681" s="152"/>
      <c r="N681" s="150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</row>
    <row r="682" customFormat="false" ht="11.25" hidden="false" customHeight="true" outlineLevel="0" collapsed="false">
      <c r="A682" s="89"/>
      <c r="B682" s="89"/>
      <c r="C682" s="89"/>
      <c r="D682" s="150"/>
      <c r="E682" s="89"/>
      <c r="F682" s="151"/>
      <c r="G682" s="151"/>
      <c r="H682" s="151"/>
      <c r="I682" s="151"/>
      <c r="J682" s="152"/>
      <c r="K682" s="152"/>
      <c r="L682" s="152"/>
      <c r="M682" s="152"/>
      <c r="N682" s="150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</row>
    <row r="683" customFormat="false" ht="11.25" hidden="false" customHeight="true" outlineLevel="0" collapsed="false">
      <c r="A683" s="89"/>
      <c r="B683" s="89"/>
      <c r="C683" s="89"/>
      <c r="D683" s="150"/>
      <c r="E683" s="89"/>
      <c r="F683" s="151"/>
      <c r="G683" s="151"/>
      <c r="H683" s="151"/>
      <c r="I683" s="151"/>
      <c r="J683" s="152"/>
      <c r="K683" s="152"/>
      <c r="L683" s="152"/>
      <c r="M683" s="152"/>
      <c r="N683" s="150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</row>
    <row r="684" customFormat="false" ht="11.25" hidden="false" customHeight="true" outlineLevel="0" collapsed="false">
      <c r="A684" s="89"/>
      <c r="B684" s="89"/>
      <c r="C684" s="89"/>
      <c r="D684" s="150"/>
      <c r="E684" s="89"/>
      <c r="F684" s="151"/>
      <c r="G684" s="151"/>
      <c r="H684" s="151"/>
      <c r="I684" s="151"/>
      <c r="J684" s="152"/>
      <c r="K684" s="152"/>
      <c r="L684" s="152"/>
      <c r="M684" s="152"/>
      <c r="N684" s="150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</row>
    <row r="685" customFormat="false" ht="11.25" hidden="false" customHeight="true" outlineLevel="0" collapsed="false">
      <c r="A685" s="89"/>
      <c r="B685" s="89"/>
      <c r="C685" s="89"/>
      <c r="D685" s="150"/>
      <c r="E685" s="89"/>
      <c r="F685" s="151"/>
      <c r="G685" s="151"/>
      <c r="H685" s="151"/>
      <c r="I685" s="151"/>
      <c r="J685" s="152"/>
      <c r="K685" s="152"/>
      <c r="L685" s="152"/>
      <c r="M685" s="152"/>
      <c r="N685" s="150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</row>
    <row r="686" customFormat="false" ht="11.25" hidden="false" customHeight="true" outlineLevel="0" collapsed="false">
      <c r="A686" s="89"/>
      <c r="B686" s="89"/>
      <c r="C686" s="89"/>
      <c r="D686" s="150"/>
      <c r="E686" s="89"/>
      <c r="F686" s="151"/>
      <c r="G686" s="151"/>
      <c r="H686" s="151"/>
      <c r="I686" s="151"/>
      <c r="J686" s="152"/>
      <c r="K686" s="152"/>
      <c r="L686" s="152"/>
      <c r="M686" s="152"/>
      <c r="N686" s="150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</row>
    <row r="687" customFormat="false" ht="11.25" hidden="false" customHeight="true" outlineLevel="0" collapsed="false">
      <c r="A687" s="89"/>
      <c r="B687" s="89"/>
      <c r="C687" s="89"/>
      <c r="D687" s="150"/>
      <c r="E687" s="89"/>
      <c r="F687" s="151"/>
      <c r="G687" s="151"/>
      <c r="H687" s="151"/>
      <c r="I687" s="151"/>
      <c r="J687" s="152"/>
      <c r="K687" s="152"/>
      <c r="L687" s="152"/>
      <c r="M687" s="152"/>
      <c r="N687" s="150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</row>
    <row r="688" customFormat="false" ht="11.25" hidden="false" customHeight="true" outlineLevel="0" collapsed="false">
      <c r="A688" s="89"/>
      <c r="B688" s="89"/>
      <c r="C688" s="89"/>
      <c r="D688" s="150"/>
      <c r="E688" s="89"/>
      <c r="F688" s="151"/>
      <c r="G688" s="151"/>
      <c r="H688" s="151"/>
      <c r="I688" s="151"/>
      <c r="J688" s="152"/>
      <c r="K688" s="152"/>
      <c r="L688" s="152"/>
      <c r="M688" s="152"/>
      <c r="N688" s="150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</row>
    <row r="689" customFormat="false" ht="11.25" hidden="false" customHeight="true" outlineLevel="0" collapsed="false">
      <c r="A689" s="89"/>
      <c r="B689" s="89"/>
      <c r="C689" s="89"/>
      <c r="D689" s="150"/>
      <c r="E689" s="89"/>
      <c r="F689" s="151"/>
      <c r="G689" s="151"/>
      <c r="H689" s="151"/>
      <c r="I689" s="151"/>
      <c r="J689" s="152"/>
      <c r="K689" s="152"/>
      <c r="L689" s="152"/>
      <c r="M689" s="152"/>
      <c r="N689" s="150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</row>
    <row r="690" customFormat="false" ht="11.25" hidden="false" customHeight="true" outlineLevel="0" collapsed="false">
      <c r="A690" s="89"/>
      <c r="B690" s="89"/>
      <c r="C690" s="89"/>
      <c r="D690" s="150"/>
      <c r="E690" s="89"/>
      <c r="F690" s="151"/>
      <c r="G690" s="151"/>
      <c r="H690" s="151"/>
      <c r="I690" s="151"/>
      <c r="J690" s="152"/>
      <c r="K690" s="152"/>
      <c r="L690" s="152"/>
      <c r="M690" s="152"/>
      <c r="N690" s="150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</row>
    <row r="691" customFormat="false" ht="11.25" hidden="false" customHeight="true" outlineLevel="0" collapsed="false">
      <c r="A691" s="89"/>
      <c r="B691" s="89"/>
      <c r="C691" s="89"/>
      <c r="D691" s="150"/>
      <c r="E691" s="89"/>
      <c r="F691" s="151"/>
      <c r="G691" s="151"/>
      <c r="H691" s="151"/>
      <c r="I691" s="151"/>
      <c r="J691" s="152"/>
      <c r="K691" s="152"/>
      <c r="L691" s="152"/>
      <c r="M691" s="152"/>
      <c r="N691" s="150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</row>
    <row r="692" customFormat="false" ht="11.25" hidden="false" customHeight="true" outlineLevel="0" collapsed="false">
      <c r="A692" s="89"/>
      <c r="B692" s="89"/>
      <c r="C692" s="89"/>
      <c r="D692" s="150"/>
      <c r="E692" s="89"/>
      <c r="F692" s="151"/>
      <c r="G692" s="151"/>
      <c r="H692" s="151"/>
      <c r="I692" s="151"/>
      <c r="J692" s="152"/>
      <c r="K692" s="152"/>
      <c r="L692" s="152"/>
      <c r="M692" s="152"/>
      <c r="N692" s="150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</row>
    <row r="693" customFormat="false" ht="11.25" hidden="false" customHeight="true" outlineLevel="0" collapsed="false">
      <c r="A693" s="89"/>
      <c r="B693" s="89"/>
      <c r="C693" s="89"/>
      <c r="D693" s="150"/>
      <c r="E693" s="89"/>
      <c r="F693" s="151"/>
      <c r="G693" s="151"/>
      <c r="H693" s="151"/>
      <c r="I693" s="151"/>
      <c r="J693" s="152"/>
      <c r="K693" s="152"/>
      <c r="L693" s="152"/>
      <c r="M693" s="152"/>
      <c r="N693" s="150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</row>
    <row r="694" customFormat="false" ht="11.25" hidden="false" customHeight="true" outlineLevel="0" collapsed="false">
      <c r="A694" s="89"/>
      <c r="B694" s="89"/>
      <c r="C694" s="89"/>
      <c r="D694" s="150"/>
      <c r="E694" s="89"/>
      <c r="F694" s="151"/>
      <c r="G694" s="151"/>
      <c r="H694" s="151"/>
      <c r="I694" s="151"/>
      <c r="J694" s="152"/>
      <c r="K694" s="152"/>
      <c r="L694" s="152"/>
      <c r="M694" s="152"/>
      <c r="N694" s="150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</row>
    <row r="695" customFormat="false" ht="11.25" hidden="false" customHeight="true" outlineLevel="0" collapsed="false">
      <c r="A695" s="89"/>
      <c r="B695" s="89"/>
      <c r="C695" s="89"/>
      <c r="D695" s="150"/>
      <c r="E695" s="89"/>
      <c r="F695" s="151"/>
      <c r="G695" s="151"/>
      <c r="H695" s="151"/>
      <c r="I695" s="151"/>
      <c r="J695" s="152"/>
      <c r="K695" s="152"/>
      <c r="L695" s="152"/>
      <c r="M695" s="152"/>
      <c r="N695" s="150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</row>
    <row r="696" customFormat="false" ht="11.25" hidden="false" customHeight="true" outlineLevel="0" collapsed="false">
      <c r="A696" s="89"/>
      <c r="B696" s="89"/>
      <c r="C696" s="89"/>
      <c r="D696" s="150"/>
      <c r="E696" s="89"/>
      <c r="F696" s="151"/>
      <c r="G696" s="151"/>
      <c r="H696" s="151"/>
      <c r="I696" s="151"/>
      <c r="J696" s="152"/>
      <c r="K696" s="152"/>
      <c r="L696" s="152"/>
      <c r="M696" s="152"/>
      <c r="N696" s="150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</row>
    <row r="697" customFormat="false" ht="11.25" hidden="false" customHeight="true" outlineLevel="0" collapsed="false">
      <c r="A697" s="89"/>
      <c r="B697" s="89"/>
      <c r="C697" s="89"/>
      <c r="D697" s="150"/>
      <c r="E697" s="89"/>
      <c r="F697" s="151"/>
      <c r="G697" s="151"/>
      <c r="H697" s="151"/>
      <c r="I697" s="151"/>
      <c r="J697" s="152"/>
      <c r="K697" s="152"/>
      <c r="L697" s="152"/>
      <c r="M697" s="152"/>
      <c r="N697" s="150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</row>
    <row r="698" customFormat="false" ht="11.25" hidden="false" customHeight="true" outlineLevel="0" collapsed="false">
      <c r="A698" s="89"/>
      <c r="B698" s="89"/>
      <c r="C698" s="89"/>
      <c r="D698" s="150"/>
      <c r="E698" s="89"/>
      <c r="F698" s="151"/>
      <c r="G698" s="151"/>
      <c r="H698" s="151"/>
      <c r="I698" s="151"/>
      <c r="J698" s="152"/>
      <c r="K698" s="152"/>
      <c r="L698" s="152"/>
      <c r="M698" s="152"/>
      <c r="N698" s="150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</row>
    <row r="699" customFormat="false" ht="11.25" hidden="false" customHeight="true" outlineLevel="0" collapsed="false">
      <c r="A699" s="89"/>
      <c r="B699" s="89"/>
      <c r="C699" s="89"/>
      <c r="D699" s="150"/>
      <c r="E699" s="89"/>
      <c r="F699" s="151"/>
      <c r="G699" s="151"/>
      <c r="H699" s="151"/>
      <c r="I699" s="151"/>
      <c r="J699" s="152"/>
      <c r="K699" s="152"/>
      <c r="L699" s="152"/>
      <c r="M699" s="152"/>
      <c r="N699" s="150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</row>
    <row r="700" customFormat="false" ht="11.25" hidden="false" customHeight="true" outlineLevel="0" collapsed="false">
      <c r="A700" s="89"/>
      <c r="B700" s="89"/>
      <c r="C700" s="89"/>
      <c r="D700" s="150"/>
      <c r="E700" s="89"/>
      <c r="F700" s="151"/>
      <c r="G700" s="151"/>
      <c r="H700" s="151"/>
      <c r="I700" s="151"/>
      <c r="J700" s="152"/>
      <c r="K700" s="152"/>
      <c r="L700" s="152"/>
      <c r="M700" s="152"/>
      <c r="N700" s="150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</row>
    <row r="701" customFormat="false" ht="11.25" hidden="false" customHeight="true" outlineLevel="0" collapsed="false">
      <c r="A701" s="89"/>
      <c r="B701" s="89"/>
      <c r="C701" s="89"/>
      <c r="D701" s="150"/>
      <c r="E701" s="89"/>
      <c r="F701" s="151"/>
      <c r="G701" s="151"/>
      <c r="H701" s="151"/>
      <c r="I701" s="151"/>
      <c r="J701" s="152"/>
      <c r="K701" s="152"/>
      <c r="L701" s="152"/>
      <c r="M701" s="152"/>
      <c r="N701" s="150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</row>
    <row r="702" customFormat="false" ht="11.25" hidden="false" customHeight="true" outlineLevel="0" collapsed="false">
      <c r="A702" s="89"/>
      <c r="B702" s="89"/>
      <c r="C702" s="89"/>
      <c r="D702" s="150"/>
      <c r="E702" s="89"/>
      <c r="F702" s="151"/>
      <c r="G702" s="151"/>
      <c r="H702" s="151"/>
      <c r="I702" s="151"/>
      <c r="J702" s="152"/>
      <c r="K702" s="152"/>
      <c r="L702" s="152"/>
      <c r="M702" s="152"/>
      <c r="N702" s="150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</row>
    <row r="703" customFormat="false" ht="11.25" hidden="false" customHeight="true" outlineLevel="0" collapsed="false">
      <c r="A703" s="89"/>
      <c r="B703" s="89"/>
      <c r="C703" s="89"/>
      <c r="D703" s="150"/>
      <c r="E703" s="89"/>
      <c r="F703" s="151"/>
      <c r="G703" s="151"/>
      <c r="H703" s="151"/>
      <c r="I703" s="151"/>
      <c r="J703" s="152"/>
      <c r="K703" s="152"/>
      <c r="L703" s="152"/>
      <c r="M703" s="152"/>
      <c r="N703" s="150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</row>
    <row r="704" customFormat="false" ht="11.25" hidden="false" customHeight="true" outlineLevel="0" collapsed="false">
      <c r="A704" s="89"/>
      <c r="B704" s="89"/>
      <c r="C704" s="89"/>
      <c r="D704" s="150"/>
      <c r="E704" s="89"/>
      <c r="F704" s="151"/>
      <c r="G704" s="151"/>
      <c r="H704" s="151"/>
      <c r="I704" s="151"/>
      <c r="J704" s="152"/>
      <c r="K704" s="152"/>
      <c r="L704" s="152"/>
      <c r="M704" s="152"/>
      <c r="N704" s="150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</row>
    <row r="705" customFormat="false" ht="11.25" hidden="false" customHeight="true" outlineLevel="0" collapsed="false">
      <c r="A705" s="89"/>
      <c r="B705" s="89"/>
      <c r="C705" s="89"/>
      <c r="D705" s="150"/>
      <c r="E705" s="89"/>
      <c r="F705" s="151"/>
      <c r="G705" s="151"/>
      <c r="H705" s="151"/>
      <c r="I705" s="151"/>
      <c r="J705" s="152"/>
      <c r="K705" s="152"/>
      <c r="L705" s="152"/>
      <c r="M705" s="152"/>
      <c r="N705" s="150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</row>
    <row r="706" customFormat="false" ht="11.25" hidden="false" customHeight="true" outlineLevel="0" collapsed="false">
      <c r="A706" s="89"/>
      <c r="B706" s="89"/>
      <c r="C706" s="89"/>
      <c r="D706" s="150"/>
      <c r="E706" s="89"/>
      <c r="F706" s="151"/>
      <c r="G706" s="151"/>
      <c r="H706" s="151"/>
      <c r="I706" s="151"/>
      <c r="J706" s="152"/>
      <c r="K706" s="152"/>
      <c r="L706" s="152"/>
      <c r="M706" s="152"/>
      <c r="N706" s="150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</row>
    <row r="707" customFormat="false" ht="11.25" hidden="false" customHeight="true" outlineLevel="0" collapsed="false">
      <c r="A707" s="89"/>
      <c r="B707" s="89"/>
      <c r="C707" s="89"/>
      <c r="D707" s="150"/>
      <c r="E707" s="89"/>
      <c r="F707" s="151"/>
      <c r="G707" s="151"/>
      <c r="H707" s="151"/>
      <c r="I707" s="151"/>
      <c r="J707" s="152"/>
      <c r="K707" s="152"/>
      <c r="L707" s="152"/>
      <c r="M707" s="152"/>
      <c r="N707" s="150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</row>
    <row r="708" customFormat="false" ht="11.25" hidden="false" customHeight="true" outlineLevel="0" collapsed="false">
      <c r="A708" s="89"/>
      <c r="B708" s="89"/>
      <c r="C708" s="89"/>
      <c r="D708" s="150"/>
      <c r="E708" s="89"/>
      <c r="F708" s="151"/>
      <c r="G708" s="151"/>
      <c r="H708" s="151"/>
      <c r="I708" s="151"/>
      <c r="J708" s="152"/>
      <c r="K708" s="152"/>
      <c r="L708" s="152"/>
      <c r="M708" s="152"/>
      <c r="N708" s="150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</row>
    <row r="709" customFormat="false" ht="11.25" hidden="false" customHeight="true" outlineLevel="0" collapsed="false">
      <c r="A709" s="89"/>
      <c r="B709" s="89"/>
      <c r="C709" s="89"/>
      <c r="D709" s="150"/>
      <c r="E709" s="89"/>
      <c r="F709" s="151"/>
      <c r="G709" s="151"/>
      <c r="H709" s="151"/>
      <c r="I709" s="151"/>
      <c r="J709" s="152"/>
      <c r="K709" s="152"/>
      <c r="L709" s="152"/>
      <c r="M709" s="152"/>
      <c r="N709" s="150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</row>
    <row r="710" customFormat="false" ht="11.25" hidden="false" customHeight="true" outlineLevel="0" collapsed="false">
      <c r="A710" s="89"/>
      <c r="B710" s="89"/>
      <c r="C710" s="89"/>
      <c r="D710" s="150"/>
      <c r="E710" s="89"/>
      <c r="F710" s="151"/>
      <c r="G710" s="151"/>
      <c r="H710" s="151"/>
      <c r="I710" s="151"/>
      <c r="J710" s="152"/>
      <c r="K710" s="152"/>
      <c r="L710" s="152"/>
      <c r="M710" s="152"/>
      <c r="N710" s="150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</row>
    <row r="711" customFormat="false" ht="11.25" hidden="false" customHeight="true" outlineLevel="0" collapsed="false">
      <c r="A711" s="89"/>
      <c r="B711" s="89"/>
      <c r="C711" s="89"/>
      <c r="D711" s="150"/>
      <c r="E711" s="89"/>
      <c r="F711" s="151"/>
      <c r="G711" s="151"/>
      <c r="H711" s="151"/>
      <c r="I711" s="151"/>
      <c r="J711" s="152"/>
      <c r="K711" s="152"/>
      <c r="L711" s="152"/>
      <c r="M711" s="152"/>
      <c r="N711" s="150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</row>
    <row r="712" customFormat="false" ht="11.25" hidden="false" customHeight="true" outlineLevel="0" collapsed="false">
      <c r="A712" s="89"/>
      <c r="B712" s="89"/>
      <c r="C712" s="89"/>
      <c r="D712" s="150"/>
      <c r="E712" s="89"/>
      <c r="F712" s="151"/>
      <c r="G712" s="151"/>
      <c r="H712" s="151"/>
      <c r="I712" s="151"/>
      <c r="J712" s="152"/>
      <c r="K712" s="152"/>
      <c r="L712" s="152"/>
      <c r="M712" s="152"/>
      <c r="N712" s="150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</row>
    <row r="713" customFormat="false" ht="11.25" hidden="false" customHeight="true" outlineLevel="0" collapsed="false">
      <c r="A713" s="89"/>
      <c r="B713" s="89"/>
      <c r="C713" s="89"/>
      <c r="D713" s="150"/>
      <c r="E713" s="89"/>
      <c r="F713" s="151"/>
      <c r="G713" s="151"/>
      <c r="H713" s="151"/>
      <c r="I713" s="151"/>
      <c r="J713" s="152"/>
      <c r="K713" s="152"/>
      <c r="L713" s="152"/>
      <c r="M713" s="152"/>
      <c r="N713" s="150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</row>
    <row r="714" customFormat="false" ht="11.25" hidden="false" customHeight="true" outlineLevel="0" collapsed="false">
      <c r="A714" s="89"/>
      <c r="B714" s="89"/>
      <c r="C714" s="89"/>
      <c r="D714" s="150"/>
      <c r="E714" s="89"/>
      <c r="F714" s="151"/>
      <c r="G714" s="151"/>
      <c r="H714" s="151"/>
      <c r="I714" s="151"/>
      <c r="J714" s="152"/>
      <c r="K714" s="152"/>
      <c r="L714" s="152"/>
      <c r="M714" s="152"/>
      <c r="N714" s="150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</row>
    <row r="715" customFormat="false" ht="11.25" hidden="false" customHeight="true" outlineLevel="0" collapsed="false">
      <c r="A715" s="89"/>
      <c r="B715" s="89"/>
      <c r="C715" s="89"/>
      <c r="D715" s="150"/>
      <c r="E715" s="89"/>
      <c r="F715" s="151"/>
      <c r="G715" s="151"/>
      <c r="H715" s="151"/>
      <c r="I715" s="151"/>
      <c r="J715" s="152"/>
      <c r="K715" s="152"/>
      <c r="L715" s="152"/>
      <c r="M715" s="152"/>
      <c r="N715" s="150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</row>
    <row r="716" customFormat="false" ht="11.25" hidden="false" customHeight="true" outlineLevel="0" collapsed="false">
      <c r="A716" s="89"/>
      <c r="B716" s="89"/>
      <c r="C716" s="89"/>
      <c r="D716" s="150"/>
      <c r="E716" s="89"/>
      <c r="F716" s="151"/>
      <c r="G716" s="151"/>
      <c r="H716" s="151"/>
      <c r="I716" s="151"/>
      <c r="J716" s="152"/>
      <c r="K716" s="152"/>
      <c r="L716" s="152"/>
      <c r="M716" s="152"/>
      <c r="N716" s="150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</row>
    <row r="717" customFormat="false" ht="11.25" hidden="false" customHeight="true" outlineLevel="0" collapsed="false">
      <c r="A717" s="89"/>
      <c r="B717" s="89"/>
      <c r="C717" s="89"/>
      <c r="D717" s="150"/>
      <c r="E717" s="89"/>
      <c r="F717" s="151"/>
      <c r="G717" s="151"/>
      <c r="H717" s="151"/>
      <c r="I717" s="151"/>
      <c r="J717" s="152"/>
      <c r="K717" s="152"/>
      <c r="L717" s="152"/>
      <c r="M717" s="152"/>
      <c r="N717" s="150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</row>
    <row r="718" customFormat="false" ht="11.25" hidden="false" customHeight="true" outlineLevel="0" collapsed="false">
      <c r="A718" s="89"/>
      <c r="B718" s="89"/>
      <c r="C718" s="89"/>
      <c r="D718" s="150"/>
      <c r="E718" s="89"/>
      <c r="F718" s="151"/>
      <c r="G718" s="151"/>
      <c r="H718" s="151"/>
      <c r="I718" s="151"/>
      <c r="J718" s="152"/>
      <c r="K718" s="152"/>
      <c r="L718" s="152"/>
      <c r="M718" s="152"/>
      <c r="N718" s="150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</row>
    <row r="719" customFormat="false" ht="11.25" hidden="false" customHeight="true" outlineLevel="0" collapsed="false">
      <c r="A719" s="89"/>
      <c r="B719" s="89"/>
      <c r="C719" s="89"/>
      <c r="D719" s="150"/>
      <c r="E719" s="89"/>
      <c r="F719" s="151"/>
      <c r="G719" s="151"/>
      <c r="H719" s="151"/>
      <c r="I719" s="151"/>
      <c r="J719" s="152"/>
      <c r="K719" s="152"/>
      <c r="L719" s="152"/>
      <c r="M719" s="152"/>
      <c r="N719" s="150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</row>
    <row r="720" customFormat="false" ht="11.25" hidden="false" customHeight="true" outlineLevel="0" collapsed="false">
      <c r="A720" s="89"/>
      <c r="B720" s="89"/>
      <c r="C720" s="89"/>
      <c r="D720" s="150"/>
      <c r="E720" s="89"/>
      <c r="F720" s="151"/>
      <c r="G720" s="151"/>
      <c r="H720" s="151"/>
      <c r="I720" s="151"/>
      <c r="J720" s="152"/>
      <c r="K720" s="152"/>
      <c r="L720" s="152"/>
      <c r="M720" s="152"/>
      <c r="N720" s="150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</row>
    <row r="721" customFormat="false" ht="11.25" hidden="false" customHeight="true" outlineLevel="0" collapsed="false">
      <c r="A721" s="89"/>
      <c r="B721" s="89"/>
      <c r="C721" s="89"/>
      <c r="D721" s="150"/>
      <c r="E721" s="89"/>
      <c r="F721" s="151"/>
      <c r="G721" s="151"/>
      <c r="H721" s="151"/>
      <c r="I721" s="151"/>
      <c r="J721" s="152"/>
      <c r="K721" s="152"/>
      <c r="L721" s="152"/>
      <c r="M721" s="152"/>
      <c r="N721" s="150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</row>
    <row r="722" customFormat="false" ht="11.25" hidden="false" customHeight="true" outlineLevel="0" collapsed="false">
      <c r="A722" s="89"/>
      <c r="B722" s="89"/>
      <c r="C722" s="89"/>
      <c r="D722" s="150"/>
      <c r="E722" s="89"/>
      <c r="F722" s="151"/>
      <c r="G722" s="151"/>
      <c r="H722" s="151"/>
      <c r="I722" s="151"/>
      <c r="J722" s="152"/>
      <c r="K722" s="152"/>
      <c r="L722" s="152"/>
      <c r="M722" s="152"/>
      <c r="N722" s="150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</row>
    <row r="723" customFormat="false" ht="11.25" hidden="false" customHeight="true" outlineLevel="0" collapsed="false">
      <c r="A723" s="89"/>
      <c r="B723" s="89"/>
      <c r="C723" s="89"/>
      <c r="D723" s="150"/>
      <c r="E723" s="89"/>
      <c r="F723" s="151"/>
      <c r="G723" s="151"/>
      <c r="H723" s="151"/>
      <c r="I723" s="151"/>
      <c r="J723" s="152"/>
      <c r="K723" s="152"/>
      <c r="L723" s="152"/>
      <c r="M723" s="152"/>
      <c r="N723" s="150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</row>
    <row r="724" customFormat="false" ht="11.25" hidden="false" customHeight="true" outlineLevel="0" collapsed="false">
      <c r="A724" s="89"/>
      <c r="B724" s="89"/>
      <c r="C724" s="89"/>
      <c r="D724" s="150"/>
      <c r="E724" s="89"/>
      <c r="F724" s="151"/>
      <c r="G724" s="151"/>
      <c r="H724" s="151"/>
      <c r="I724" s="151"/>
      <c r="J724" s="152"/>
      <c r="K724" s="152"/>
      <c r="L724" s="152"/>
      <c r="M724" s="152"/>
      <c r="N724" s="150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</row>
    <row r="725" customFormat="false" ht="11.25" hidden="false" customHeight="true" outlineLevel="0" collapsed="false">
      <c r="A725" s="89"/>
      <c r="B725" s="89"/>
      <c r="C725" s="89"/>
      <c r="D725" s="150"/>
      <c r="E725" s="89"/>
      <c r="F725" s="151"/>
      <c r="G725" s="151"/>
      <c r="H725" s="151"/>
      <c r="I725" s="151"/>
      <c r="J725" s="152"/>
      <c r="K725" s="152"/>
      <c r="L725" s="152"/>
      <c r="M725" s="152"/>
      <c r="N725" s="150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</row>
    <row r="726" customFormat="false" ht="11.25" hidden="false" customHeight="true" outlineLevel="0" collapsed="false">
      <c r="A726" s="89"/>
      <c r="B726" s="89"/>
      <c r="C726" s="89"/>
      <c r="D726" s="150"/>
      <c r="E726" s="89"/>
      <c r="F726" s="151"/>
      <c r="G726" s="151"/>
      <c r="H726" s="151"/>
      <c r="I726" s="151"/>
      <c r="J726" s="152"/>
      <c r="K726" s="152"/>
      <c r="L726" s="152"/>
      <c r="M726" s="152"/>
      <c r="N726" s="150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</row>
    <row r="727" customFormat="false" ht="11.25" hidden="false" customHeight="true" outlineLevel="0" collapsed="false">
      <c r="A727" s="89"/>
      <c r="B727" s="89"/>
      <c r="C727" s="89"/>
      <c r="D727" s="150"/>
      <c r="E727" s="89"/>
      <c r="F727" s="151"/>
      <c r="G727" s="151"/>
      <c r="H727" s="151"/>
      <c r="I727" s="151"/>
      <c r="J727" s="152"/>
      <c r="K727" s="152"/>
      <c r="L727" s="152"/>
      <c r="M727" s="152"/>
      <c r="N727" s="150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</row>
    <row r="728" customFormat="false" ht="11.25" hidden="false" customHeight="true" outlineLevel="0" collapsed="false">
      <c r="A728" s="89"/>
      <c r="B728" s="89"/>
      <c r="C728" s="89"/>
      <c r="D728" s="150"/>
      <c r="E728" s="89"/>
      <c r="F728" s="151"/>
      <c r="G728" s="151"/>
      <c r="H728" s="151"/>
      <c r="I728" s="151"/>
      <c r="J728" s="152"/>
      <c r="K728" s="152"/>
      <c r="L728" s="152"/>
      <c r="M728" s="152"/>
      <c r="N728" s="150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</row>
    <row r="729" customFormat="false" ht="11.25" hidden="false" customHeight="true" outlineLevel="0" collapsed="false">
      <c r="A729" s="89"/>
      <c r="B729" s="89"/>
      <c r="C729" s="89"/>
      <c r="D729" s="150"/>
      <c r="E729" s="89"/>
      <c r="F729" s="151"/>
      <c r="G729" s="151"/>
      <c r="H729" s="151"/>
      <c r="I729" s="151"/>
      <c r="J729" s="152"/>
      <c r="K729" s="152"/>
      <c r="L729" s="152"/>
      <c r="M729" s="152"/>
      <c r="N729" s="150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</row>
    <row r="730" customFormat="false" ht="11.25" hidden="false" customHeight="true" outlineLevel="0" collapsed="false">
      <c r="A730" s="89"/>
      <c r="B730" s="89"/>
      <c r="C730" s="89"/>
      <c r="D730" s="150"/>
      <c r="E730" s="89"/>
      <c r="F730" s="151"/>
      <c r="G730" s="151"/>
      <c r="H730" s="151"/>
      <c r="I730" s="151"/>
      <c r="J730" s="152"/>
      <c r="K730" s="152"/>
      <c r="L730" s="152"/>
      <c r="M730" s="152"/>
      <c r="N730" s="150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</row>
    <row r="731" customFormat="false" ht="11.25" hidden="false" customHeight="true" outlineLevel="0" collapsed="false">
      <c r="A731" s="89"/>
      <c r="B731" s="89"/>
      <c r="C731" s="89"/>
      <c r="D731" s="150"/>
      <c r="E731" s="89"/>
      <c r="F731" s="151"/>
      <c r="G731" s="151"/>
      <c r="H731" s="151"/>
      <c r="I731" s="151"/>
      <c r="J731" s="152"/>
      <c r="K731" s="152"/>
      <c r="L731" s="152"/>
      <c r="M731" s="152"/>
      <c r="N731" s="150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</row>
    <row r="732" customFormat="false" ht="11.25" hidden="false" customHeight="true" outlineLevel="0" collapsed="false">
      <c r="A732" s="89"/>
      <c r="B732" s="89"/>
      <c r="C732" s="89"/>
      <c r="D732" s="150"/>
      <c r="E732" s="89"/>
      <c r="F732" s="151"/>
      <c r="G732" s="151"/>
      <c r="H732" s="151"/>
      <c r="I732" s="151"/>
      <c r="J732" s="152"/>
      <c r="K732" s="152"/>
      <c r="L732" s="152"/>
      <c r="M732" s="152"/>
      <c r="N732" s="150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</row>
    <row r="733" customFormat="false" ht="11.25" hidden="false" customHeight="true" outlineLevel="0" collapsed="false">
      <c r="A733" s="89"/>
      <c r="B733" s="89"/>
      <c r="C733" s="89"/>
      <c r="D733" s="150"/>
      <c r="E733" s="89"/>
      <c r="F733" s="151"/>
      <c r="G733" s="151"/>
      <c r="H733" s="151"/>
      <c r="I733" s="151"/>
      <c r="J733" s="152"/>
      <c r="K733" s="152"/>
      <c r="L733" s="152"/>
      <c r="M733" s="152"/>
      <c r="N733" s="150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</row>
    <row r="734" customFormat="false" ht="11.25" hidden="false" customHeight="true" outlineLevel="0" collapsed="false">
      <c r="A734" s="89"/>
      <c r="B734" s="89"/>
      <c r="C734" s="89"/>
      <c r="D734" s="150"/>
      <c r="E734" s="89"/>
      <c r="F734" s="151"/>
      <c r="G734" s="151"/>
      <c r="H734" s="151"/>
      <c r="I734" s="151"/>
      <c r="J734" s="152"/>
      <c r="K734" s="152"/>
      <c r="L734" s="152"/>
      <c r="M734" s="152"/>
      <c r="N734" s="150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</row>
    <row r="735" customFormat="false" ht="11.25" hidden="false" customHeight="true" outlineLevel="0" collapsed="false">
      <c r="A735" s="89"/>
      <c r="B735" s="89"/>
      <c r="C735" s="89"/>
      <c r="D735" s="150"/>
      <c r="E735" s="89"/>
      <c r="F735" s="151"/>
      <c r="G735" s="151"/>
      <c r="H735" s="151"/>
      <c r="I735" s="151"/>
      <c r="J735" s="152"/>
      <c r="K735" s="152"/>
      <c r="L735" s="152"/>
      <c r="M735" s="152"/>
      <c r="N735" s="150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</row>
    <row r="736" customFormat="false" ht="11.25" hidden="false" customHeight="true" outlineLevel="0" collapsed="false">
      <c r="A736" s="89"/>
      <c r="B736" s="89"/>
      <c r="C736" s="89"/>
      <c r="D736" s="150"/>
      <c r="E736" s="89"/>
      <c r="F736" s="151"/>
      <c r="G736" s="151"/>
      <c r="H736" s="151"/>
      <c r="I736" s="151"/>
      <c r="J736" s="152"/>
      <c r="K736" s="152"/>
      <c r="L736" s="152"/>
      <c r="M736" s="152"/>
      <c r="N736" s="150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</row>
    <row r="737" customFormat="false" ht="11.25" hidden="false" customHeight="true" outlineLevel="0" collapsed="false">
      <c r="A737" s="89"/>
      <c r="B737" s="89"/>
      <c r="C737" s="89"/>
      <c r="D737" s="150"/>
      <c r="E737" s="89"/>
      <c r="F737" s="151"/>
      <c r="G737" s="151"/>
      <c r="H737" s="151"/>
      <c r="I737" s="151"/>
      <c r="J737" s="152"/>
      <c r="K737" s="152"/>
      <c r="L737" s="152"/>
      <c r="M737" s="152"/>
      <c r="N737" s="150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</row>
    <row r="738" customFormat="false" ht="11.25" hidden="false" customHeight="true" outlineLevel="0" collapsed="false">
      <c r="A738" s="89"/>
      <c r="B738" s="89"/>
      <c r="C738" s="89"/>
      <c r="D738" s="150"/>
      <c r="E738" s="89"/>
      <c r="F738" s="151"/>
      <c r="G738" s="151"/>
      <c r="H738" s="151"/>
      <c r="I738" s="151"/>
      <c r="J738" s="152"/>
      <c r="K738" s="152"/>
      <c r="L738" s="152"/>
      <c r="M738" s="152"/>
      <c r="N738" s="150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</row>
    <row r="739" customFormat="false" ht="11.25" hidden="false" customHeight="true" outlineLevel="0" collapsed="false">
      <c r="A739" s="89"/>
      <c r="B739" s="89"/>
      <c r="C739" s="89"/>
      <c r="D739" s="150"/>
      <c r="E739" s="89"/>
      <c r="F739" s="151"/>
      <c r="G739" s="151"/>
      <c r="H739" s="151"/>
      <c r="I739" s="151"/>
      <c r="J739" s="152"/>
      <c r="K739" s="152"/>
      <c r="L739" s="152"/>
      <c r="M739" s="152"/>
      <c r="N739" s="150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</row>
    <row r="740" customFormat="false" ht="11.25" hidden="false" customHeight="true" outlineLevel="0" collapsed="false">
      <c r="A740" s="89"/>
      <c r="B740" s="89"/>
      <c r="C740" s="89"/>
      <c r="D740" s="150"/>
      <c r="E740" s="89"/>
      <c r="F740" s="151"/>
      <c r="G740" s="151"/>
      <c r="H740" s="151"/>
      <c r="I740" s="151"/>
      <c r="J740" s="152"/>
      <c r="K740" s="152"/>
      <c r="L740" s="152"/>
      <c r="M740" s="152"/>
      <c r="N740" s="150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</row>
    <row r="741" customFormat="false" ht="11.25" hidden="false" customHeight="true" outlineLevel="0" collapsed="false">
      <c r="A741" s="89"/>
      <c r="B741" s="89"/>
      <c r="C741" s="89"/>
      <c r="D741" s="150"/>
      <c r="E741" s="89"/>
      <c r="F741" s="151"/>
      <c r="G741" s="151"/>
      <c r="H741" s="151"/>
      <c r="I741" s="151"/>
      <c r="J741" s="152"/>
      <c r="K741" s="152"/>
      <c r="L741" s="152"/>
      <c r="M741" s="152"/>
      <c r="N741" s="150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</row>
    <row r="742" customFormat="false" ht="11.25" hidden="false" customHeight="true" outlineLevel="0" collapsed="false">
      <c r="A742" s="89"/>
      <c r="B742" s="89"/>
      <c r="C742" s="89"/>
      <c r="D742" s="150"/>
      <c r="E742" s="89"/>
      <c r="F742" s="151"/>
      <c r="G742" s="151"/>
      <c r="H742" s="151"/>
      <c r="I742" s="151"/>
      <c r="J742" s="152"/>
      <c r="K742" s="152"/>
      <c r="L742" s="152"/>
      <c r="M742" s="152"/>
      <c r="N742" s="150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</row>
    <row r="743" customFormat="false" ht="11.25" hidden="false" customHeight="true" outlineLevel="0" collapsed="false">
      <c r="A743" s="89"/>
      <c r="B743" s="89"/>
      <c r="C743" s="89"/>
      <c r="D743" s="150"/>
      <c r="E743" s="89"/>
      <c r="F743" s="151"/>
      <c r="G743" s="151"/>
      <c r="H743" s="151"/>
      <c r="I743" s="151"/>
      <c r="J743" s="152"/>
      <c r="K743" s="152"/>
      <c r="L743" s="152"/>
      <c r="M743" s="152"/>
      <c r="N743" s="150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</row>
    <row r="744" customFormat="false" ht="11.25" hidden="false" customHeight="true" outlineLevel="0" collapsed="false">
      <c r="A744" s="89"/>
      <c r="B744" s="89"/>
      <c r="C744" s="89"/>
      <c r="D744" s="150"/>
      <c r="E744" s="89"/>
      <c r="F744" s="151"/>
      <c r="G744" s="151"/>
      <c r="H744" s="151"/>
      <c r="I744" s="151"/>
      <c r="J744" s="152"/>
      <c r="K744" s="152"/>
      <c r="L744" s="152"/>
      <c r="M744" s="152"/>
      <c r="N744" s="150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</row>
    <row r="745" customFormat="false" ht="11.25" hidden="false" customHeight="true" outlineLevel="0" collapsed="false">
      <c r="A745" s="89"/>
      <c r="B745" s="89"/>
      <c r="C745" s="89"/>
      <c r="D745" s="150"/>
      <c r="E745" s="89"/>
      <c r="F745" s="151"/>
      <c r="G745" s="151"/>
      <c r="H745" s="151"/>
      <c r="I745" s="151"/>
      <c r="J745" s="152"/>
      <c r="K745" s="152"/>
      <c r="L745" s="152"/>
      <c r="M745" s="152"/>
      <c r="N745" s="150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</row>
    <row r="746" customFormat="false" ht="11.25" hidden="false" customHeight="true" outlineLevel="0" collapsed="false">
      <c r="A746" s="89"/>
      <c r="B746" s="89"/>
      <c r="C746" s="89"/>
      <c r="D746" s="150"/>
      <c r="E746" s="89"/>
      <c r="F746" s="151"/>
      <c r="G746" s="151"/>
      <c r="H746" s="151"/>
      <c r="I746" s="151"/>
      <c r="J746" s="152"/>
      <c r="K746" s="152"/>
      <c r="L746" s="152"/>
      <c r="M746" s="152"/>
      <c r="N746" s="150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</row>
    <row r="747" customFormat="false" ht="11.25" hidden="false" customHeight="true" outlineLevel="0" collapsed="false">
      <c r="A747" s="89"/>
      <c r="B747" s="89"/>
      <c r="C747" s="89"/>
      <c r="D747" s="150"/>
      <c r="E747" s="89"/>
      <c r="F747" s="151"/>
      <c r="G747" s="151"/>
      <c r="H747" s="151"/>
      <c r="I747" s="151"/>
      <c r="J747" s="152"/>
      <c r="K747" s="152"/>
      <c r="L747" s="152"/>
      <c r="M747" s="152"/>
      <c r="N747" s="150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</row>
    <row r="748" customFormat="false" ht="11.25" hidden="false" customHeight="true" outlineLevel="0" collapsed="false">
      <c r="A748" s="89"/>
      <c r="B748" s="89"/>
      <c r="C748" s="89"/>
      <c r="D748" s="150"/>
      <c r="E748" s="89"/>
      <c r="F748" s="151"/>
      <c r="G748" s="151"/>
      <c r="H748" s="151"/>
      <c r="I748" s="151"/>
      <c r="J748" s="152"/>
      <c r="K748" s="152"/>
      <c r="L748" s="152"/>
      <c r="M748" s="152"/>
      <c r="N748" s="150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</row>
    <row r="749" customFormat="false" ht="11.25" hidden="false" customHeight="true" outlineLevel="0" collapsed="false">
      <c r="A749" s="89"/>
      <c r="B749" s="89"/>
      <c r="C749" s="89"/>
      <c r="D749" s="150"/>
      <c r="E749" s="89"/>
      <c r="F749" s="151"/>
      <c r="G749" s="151"/>
      <c r="H749" s="151"/>
      <c r="I749" s="151"/>
      <c r="J749" s="152"/>
      <c r="K749" s="152"/>
      <c r="L749" s="152"/>
      <c r="M749" s="152"/>
      <c r="N749" s="150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</row>
    <row r="750" customFormat="false" ht="11.25" hidden="false" customHeight="true" outlineLevel="0" collapsed="false">
      <c r="A750" s="89"/>
      <c r="B750" s="89"/>
      <c r="C750" s="89"/>
      <c r="D750" s="150"/>
      <c r="E750" s="89"/>
      <c r="F750" s="151"/>
      <c r="G750" s="151"/>
      <c r="H750" s="151"/>
      <c r="I750" s="151"/>
      <c r="J750" s="152"/>
      <c r="K750" s="152"/>
      <c r="L750" s="152"/>
      <c r="M750" s="152"/>
      <c r="N750" s="150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</row>
    <row r="751" customFormat="false" ht="11.25" hidden="false" customHeight="true" outlineLevel="0" collapsed="false">
      <c r="A751" s="89"/>
      <c r="B751" s="89"/>
      <c r="C751" s="89"/>
      <c r="D751" s="150"/>
      <c r="E751" s="89"/>
      <c r="F751" s="151"/>
      <c r="G751" s="151"/>
      <c r="H751" s="151"/>
      <c r="I751" s="151"/>
      <c r="J751" s="152"/>
      <c r="K751" s="152"/>
      <c r="L751" s="152"/>
      <c r="M751" s="152"/>
      <c r="N751" s="150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</row>
    <row r="752" customFormat="false" ht="11.25" hidden="false" customHeight="true" outlineLevel="0" collapsed="false">
      <c r="A752" s="89"/>
      <c r="B752" s="89"/>
      <c r="C752" s="89"/>
      <c r="D752" s="150"/>
      <c r="E752" s="89"/>
      <c r="F752" s="151"/>
      <c r="G752" s="151"/>
      <c r="H752" s="151"/>
      <c r="I752" s="151"/>
      <c r="J752" s="152"/>
      <c r="K752" s="152"/>
      <c r="L752" s="152"/>
      <c r="M752" s="152"/>
      <c r="N752" s="150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</row>
    <row r="753" customFormat="false" ht="11.25" hidden="false" customHeight="true" outlineLevel="0" collapsed="false">
      <c r="A753" s="89"/>
      <c r="B753" s="89"/>
      <c r="C753" s="89"/>
      <c r="D753" s="150"/>
      <c r="E753" s="89"/>
      <c r="F753" s="151"/>
      <c r="G753" s="151"/>
      <c r="H753" s="151"/>
      <c r="I753" s="151"/>
      <c r="J753" s="152"/>
      <c r="K753" s="152"/>
      <c r="L753" s="152"/>
      <c r="M753" s="152"/>
      <c r="N753" s="150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</row>
    <row r="754" customFormat="false" ht="11.25" hidden="false" customHeight="true" outlineLevel="0" collapsed="false">
      <c r="A754" s="89"/>
      <c r="B754" s="89"/>
      <c r="C754" s="89"/>
      <c r="D754" s="150"/>
      <c r="E754" s="89"/>
      <c r="F754" s="151"/>
      <c r="G754" s="151"/>
      <c r="H754" s="151"/>
      <c r="I754" s="151"/>
      <c r="J754" s="152"/>
      <c r="K754" s="152"/>
      <c r="L754" s="152"/>
      <c r="M754" s="152"/>
      <c r="N754" s="150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</row>
    <row r="755" customFormat="false" ht="11.25" hidden="false" customHeight="true" outlineLevel="0" collapsed="false">
      <c r="A755" s="89"/>
      <c r="B755" s="89"/>
      <c r="C755" s="89"/>
      <c r="D755" s="150"/>
      <c r="E755" s="89"/>
      <c r="F755" s="151"/>
      <c r="G755" s="151"/>
      <c r="H755" s="151"/>
      <c r="I755" s="151"/>
      <c r="J755" s="152"/>
      <c r="K755" s="152"/>
      <c r="L755" s="152"/>
      <c r="M755" s="152"/>
      <c r="N755" s="150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</row>
    <row r="756" customFormat="false" ht="11.25" hidden="false" customHeight="true" outlineLevel="0" collapsed="false">
      <c r="A756" s="89"/>
      <c r="B756" s="89"/>
      <c r="C756" s="89"/>
      <c r="D756" s="150"/>
      <c r="E756" s="89"/>
      <c r="F756" s="151"/>
      <c r="G756" s="151"/>
      <c r="H756" s="151"/>
      <c r="I756" s="151"/>
      <c r="J756" s="152"/>
      <c r="K756" s="152"/>
      <c r="L756" s="152"/>
      <c r="M756" s="152"/>
      <c r="N756" s="150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</row>
    <row r="757" customFormat="false" ht="11.25" hidden="false" customHeight="true" outlineLevel="0" collapsed="false">
      <c r="A757" s="89"/>
      <c r="B757" s="89"/>
      <c r="C757" s="89"/>
      <c r="D757" s="150"/>
      <c r="E757" s="89"/>
      <c r="F757" s="151"/>
      <c r="G757" s="151"/>
      <c r="H757" s="151"/>
      <c r="I757" s="151"/>
      <c r="J757" s="152"/>
      <c r="K757" s="152"/>
      <c r="L757" s="152"/>
      <c r="M757" s="152"/>
      <c r="N757" s="150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</row>
    <row r="758" customFormat="false" ht="11.25" hidden="false" customHeight="true" outlineLevel="0" collapsed="false">
      <c r="A758" s="89"/>
      <c r="B758" s="89"/>
      <c r="C758" s="89"/>
      <c r="D758" s="150"/>
      <c r="E758" s="89"/>
      <c r="F758" s="151"/>
      <c r="G758" s="151"/>
      <c r="H758" s="151"/>
      <c r="I758" s="151"/>
      <c r="J758" s="152"/>
      <c r="K758" s="152"/>
      <c r="L758" s="152"/>
      <c r="M758" s="152"/>
      <c r="N758" s="150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</row>
    <row r="759" customFormat="false" ht="11.25" hidden="false" customHeight="true" outlineLevel="0" collapsed="false">
      <c r="A759" s="89"/>
      <c r="B759" s="89"/>
      <c r="C759" s="89"/>
      <c r="D759" s="150"/>
      <c r="E759" s="89"/>
      <c r="F759" s="151"/>
      <c r="G759" s="151"/>
      <c r="H759" s="151"/>
      <c r="I759" s="151"/>
      <c r="J759" s="152"/>
      <c r="K759" s="152"/>
      <c r="L759" s="152"/>
      <c r="M759" s="152"/>
      <c r="N759" s="150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</row>
    <row r="760" customFormat="false" ht="11.25" hidden="false" customHeight="true" outlineLevel="0" collapsed="false">
      <c r="A760" s="89"/>
      <c r="B760" s="89"/>
      <c r="C760" s="89"/>
      <c r="D760" s="150"/>
      <c r="E760" s="89"/>
      <c r="F760" s="151"/>
      <c r="G760" s="151"/>
      <c r="H760" s="151"/>
      <c r="I760" s="151"/>
      <c r="J760" s="152"/>
      <c r="K760" s="152"/>
      <c r="L760" s="152"/>
      <c r="M760" s="152"/>
      <c r="N760" s="150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</row>
    <row r="761" customFormat="false" ht="11.25" hidden="false" customHeight="true" outlineLevel="0" collapsed="false">
      <c r="A761" s="89"/>
      <c r="B761" s="89"/>
      <c r="C761" s="89"/>
      <c r="D761" s="150"/>
      <c r="E761" s="89"/>
      <c r="F761" s="151"/>
      <c r="G761" s="151"/>
      <c r="H761" s="151"/>
      <c r="I761" s="151"/>
      <c r="J761" s="152"/>
      <c r="K761" s="152"/>
      <c r="L761" s="152"/>
      <c r="M761" s="152"/>
      <c r="N761" s="150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</row>
    <row r="762" customFormat="false" ht="11.25" hidden="false" customHeight="true" outlineLevel="0" collapsed="false">
      <c r="A762" s="89"/>
      <c r="B762" s="89"/>
      <c r="C762" s="89"/>
      <c r="D762" s="150"/>
      <c r="E762" s="89"/>
      <c r="F762" s="151"/>
      <c r="G762" s="151"/>
      <c r="H762" s="151"/>
      <c r="I762" s="151"/>
      <c r="J762" s="152"/>
      <c r="K762" s="152"/>
      <c r="L762" s="152"/>
      <c r="M762" s="152"/>
      <c r="N762" s="150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</row>
    <row r="763" customFormat="false" ht="11.25" hidden="false" customHeight="true" outlineLevel="0" collapsed="false">
      <c r="A763" s="89"/>
      <c r="B763" s="89"/>
      <c r="C763" s="89"/>
      <c r="D763" s="150"/>
      <c r="E763" s="89"/>
      <c r="F763" s="151"/>
      <c r="G763" s="151"/>
      <c r="H763" s="151"/>
      <c r="I763" s="151"/>
      <c r="J763" s="152"/>
      <c r="K763" s="152"/>
      <c r="L763" s="152"/>
      <c r="M763" s="152"/>
      <c r="N763" s="150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</row>
    <row r="764" customFormat="false" ht="11.25" hidden="false" customHeight="true" outlineLevel="0" collapsed="false">
      <c r="A764" s="89"/>
      <c r="B764" s="89"/>
      <c r="C764" s="89"/>
      <c r="D764" s="150"/>
      <c r="E764" s="89"/>
      <c r="F764" s="151"/>
      <c r="G764" s="151"/>
      <c r="H764" s="151"/>
      <c r="I764" s="151"/>
      <c r="J764" s="152"/>
      <c r="K764" s="152"/>
      <c r="L764" s="152"/>
      <c r="M764" s="152"/>
      <c r="N764" s="150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</row>
    <row r="765" customFormat="false" ht="11.25" hidden="false" customHeight="true" outlineLevel="0" collapsed="false">
      <c r="A765" s="89"/>
      <c r="B765" s="89"/>
      <c r="C765" s="89"/>
      <c r="D765" s="150"/>
      <c r="E765" s="89"/>
      <c r="F765" s="151"/>
      <c r="G765" s="151"/>
      <c r="H765" s="151"/>
      <c r="I765" s="151"/>
      <c r="J765" s="152"/>
      <c r="K765" s="152"/>
      <c r="L765" s="152"/>
      <c r="M765" s="152"/>
      <c r="N765" s="150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</row>
    <row r="766" customFormat="false" ht="11.25" hidden="false" customHeight="true" outlineLevel="0" collapsed="false">
      <c r="A766" s="89"/>
      <c r="B766" s="89"/>
      <c r="C766" s="89"/>
      <c r="D766" s="150"/>
      <c r="E766" s="89"/>
      <c r="F766" s="151"/>
      <c r="G766" s="151"/>
      <c r="H766" s="151"/>
      <c r="I766" s="151"/>
      <c r="J766" s="152"/>
      <c r="K766" s="152"/>
      <c r="L766" s="152"/>
      <c r="M766" s="152"/>
      <c r="N766" s="150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</row>
    <row r="767" customFormat="false" ht="11.25" hidden="false" customHeight="true" outlineLevel="0" collapsed="false">
      <c r="A767" s="89"/>
      <c r="B767" s="89"/>
      <c r="C767" s="89"/>
      <c r="D767" s="150"/>
      <c r="E767" s="89"/>
      <c r="F767" s="151"/>
      <c r="G767" s="151"/>
      <c r="H767" s="151"/>
      <c r="I767" s="151"/>
      <c r="J767" s="152"/>
      <c r="K767" s="152"/>
      <c r="L767" s="152"/>
      <c r="M767" s="152"/>
      <c r="N767" s="150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</row>
    <row r="768" customFormat="false" ht="11.25" hidden="false" customHeight="true" outlineLevel="0" collapsed="false">
      <c r="A768" s="89"/>
      <c r="B768" s="89"/>
      <c r="C768" s="89"/>
      <c r="D768" s="150"/>
      <c r="E768" s="89"/>
      <c r="F768" s="151"/>
      <c r="G768" s="151"/>
      <c r="H768" s="151"/>
      <c r="I768" s="151"/>
      <c r="J768" s="152"/>
      <c r="K768" s="152"/>
      <c r="L768" s="152"/>
      <c r="M768" s="152"/>
      <c r="N768" s="150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</row>
    <row r="769" customFormat="false" ht="11.25" hidden="false" customHeight="true" outlineLevel="0" collapsed="false">
      <c r="A769" s="89"/>
      <c r="B769" s="89"/>
      <c r="C769" s="89"/>
      <c r="D769" s="150"/>
      <c r="E769" s="89"/>
      <c r="F769" s="151"/>
      <c r="G769" s="151"/>
      <c r="H769" s="151"/>
      <c r="I769" s="151"/>
      <c r="J769" s="152"/>
      <c r="K769" s="152"/>
      <c r="L769" s="152"/>
      <c r="M769" s="152"/>
      <c r="N769" s="150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</row>
    <row r="770" customFormat="false" ht="11.25" hidden="false" customHeight="true" outlineLevel="0" collapsed="false">
      <c r="A770" s="89"/>
      <c r="B770" s="89"/>
      <c r="C770" s="89"/>
      <c r="D770" s="150"/>
      <c r="E770" s="89"/>
      <c r="F770" s="151"/>
      <c r="G770" s="151"/>
      <c r="H770" s="151"/>
      <c r="I770" s="151"/>
      <c r="J770" s="152"/>
      <c r="K770" s="152"/>
      <c r="L770" s="152"/>
      <c r="M770" s="152"/>
      <c r="N770" s="150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</row>
    <row r="771" customFormat="false" ht="11.25" hidden="false" customHeight="true" outlineLevel="0" collapsed="false">
      <c r="A771" s="89"/>
      <c r="B771" s="89"/>
      <c r="C771" s="89"/>
      <c r="D771" s="150"/>
      <c r="E771" s="89"/>
      <c r="F771" s="151"/>
      <c r="G771" s="151"/>
      <c r="H771" s="151"/>
      <c r="I771" s="151"/>
      <c r="J771" s="152"/>
      <c r="K771" s="152"/>
      <c r="L771" s="152"/>
      <c r="M771" s="152"/>
      <c r="N771" s="150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</row>
    <row r="772" customFormat="false" ht="11.25" hidden="false" customHeight="true" outlineLevel="0" collapsed="false">
      <c r="A772" s="89"/>
      <c r="B772" s="89"/>
      <c r="C772" s="89"/>
      <c r="D772" s="150"/>
      <c r="E772" s="89"/>
      <c r="F772" s="151"/>
      <c r="G772" s="151"/>
      <c r="H772" s="151"/>
      <c r="I772" s="151"/>
      <c r="J772" s="152"/>
      <c r="K772" s="152"/>
      <c r="L772" s="152"/>
      <c r="M772" s="152"/>
      <c r="N772" s="150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</row>
    <row r="773" customFormat="false" ht="11.25" hidden="false" customHeight="true" outlineLevel="0" collapsed="false">
      <c r="A773" s="89"/>
      <c r="B773" s="89"/>
      <c r="C773" s="89"/>
      <c r="D773" s="150"/>
      <c r="E773" s="89"/>
      <c r="F773" s="151"/>
      <c r="G773" s="151"/>
      <c r="H773" s="151"/>
      <c r="I773" s="151"/>
      <c r="J773" s="152"/>
      <c r="K773" s="152"/>
      <c r="L773" s="152"/>
      <c r="M773" s="152"/>
      <c r="N773" s="150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</row>
    <row r="774" customFormat="false" ht="11.25" hidden="false" customHeight="true" outlineLevel="0" collapsed="false">
      <c r="A774" s="89"/>
      <c r="B774" s="89"/>
      <c r="C774" s="89"/>
      <c r="D774" s="150"/>
      <c r="E774" s="89"/>
      <c r="F774" s="151"/>
      <c r="G774" s="151"/>
      <c r="H774" s="151"/>
      <c r="I774" s="151"/>
      <c r="J774" s="152"/>
      <c r="K774" s="152"/>
      <c r="L774" s="152"/>
      <c r="M774" s="152"/>
      <c r="N774" s="150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</row>
    <row r="775" customFormat="false" ht="11.25" hidden="false" customHeight="true" outlineLevel="0" collapsed="false">
      <c r="A775" s="89"/>
      <c r="B775" s="89"/>
      <c r="C775" s="89"/>
      <c r="D775" s="150"/>
      <c r="E775" s="89"/>
      <c r="F775" s="151"/>
      <c r="G775" s="151"/>
      <c r="H775" s="151"/>
      <c r="I775" s="151"/>
      <c r="J775" s="152"/>
      <c r="K775" s="152"/>
      <c r="L775" s="152"/>
      <c r="M775" s="152"/>
      <c r="N775" s="150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</row>
    <row r="776" customFormat="false" ht="11.25" hidden="false" customHeight="true" outlineLevel="0" collapsed="false">
      <c r="A776" s="89"/>
      <c r="B776" s="89"/>
      <c r="C776" s="89"/>
      <c r="D776" s="150"/>
      <c r="E776" s="89"/>
      <c r="F776" s="151"/>
      <c r="G776" s="151"/>
      <c r="H776" s="151"/>
      <c r="I776" s="151"/>
      <c r="J776" s="152"/>
      <c r="K776" s="152"/>
      <c r="L776" s="152"/>
      <c r="M776" s="152"/>
      <c r="N776" s="150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</row>
    <row r="777" customFormat="false" ht="11.25" hidden="false" customHeight="true" outlineLevel="0" collapsed="false">
      <c r="A777" s="89"/>
      <c r="B777" s="89"/>
      <c r="C777" s="89"/>
      <c r="D777" s="150"/>
      <c r="E777" s="89"/>
      <c r="F777" s="151"/>
      <c r="G777" s="151"/>
      <c r="H777" s="151"/>
      <c r="I777" s="151"/>
      <c r="J777" s="152"/>
      <c r="K777" s="152"/>
      <c r="L777" s="152"/>
      <c r="M777" s="152"/>
      <c r="N777" s="150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</row>
    <row r="778" customFormat="false" ht="11.25" hidden="false" customHeight="true" outlineLevel="0" collapsed="false">
      <c r="A778" s="89"/>
      <c r="B778" s="89"/>
      <c r="C778" s="89"/>
      <c r="D778" s="150"/>
      <c r="E778" s="89"/>
      <c r="F778" s="151"/>
      <c r="G778" s="151"/>
      <c r="H778" s="151"/>
      <c r="I778" s="151"/>
      <c r="J778" s="152"/>
      <c r="K778" s="152"/>
      <c r="L778" s="152"/>
      <c r="M778" s="152"/>
      <c r="N778" s="150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</row>
    <row r="779" customFormat="false" ht="11.25" hidden="false" customHeight="true" outlineLevel="0" collapsed="false">
      <c r="A779" s="89"/>
      <c r="B779" s="89"/>
      <c r="C779" s="89"/>
      <c r="D779" s="150"/>
      <c r="E779" s="89"/>
      <c r="F779" s="151"/>
      <c r="G779" s="151"/>
      <c r="H779" s="151"/>
      <c r="I779" s="151"/>
      <c r="J779" s="152"/>
      <c r="K779" s="152"/>
      <c r="L779" s="152"/>
      <c r="M779" s="152"/>
      <c r="N779" s="150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</row>
    <row r="780" customFormat="false" ht="11.25" hidden="false" customHeight="true" outlineLevel="0" collapsed="false">
      <c r="A780" s="89"/>
      <c r="B780" s="89"/>
      <c r="C780" s="89"/>
      <c r="D780" s="150"/>
      <c r="E780" s="89"/>
      <c r="F780" s="151"/>
      <c r="G780" s="151"/>
      <c r="H780" s="151"/>
      <c r="I780" s="151"/>
      <c r="J780" s="152"/>
      <c r="K780" s="152"/>
      <c r="L780" s="152"/>
      <c r="M780" s="152"/>
      <c r="N780" s="150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</row>
    <row r="781" customFormat="false" ht="11.25" hidden="false" customHeight="true" outlineLevel="0" collapsed="false">
      <c r="A781" s="89"/>
      <c r="B781" s="89"/>
      <c r="C781" s="89"/>
      <c r="D781" s="150"/>
      <c r="E781" s="89"/>
      <c r="F781" s="151"/>
      <c r="G781" s="151"/>
      <c r="H781" s="151"/>
      <c r="I781" s="151"/>
      <c r="J781" s="152"/>
      <c r="K781" s="152"/>
      <c r="L781" s="152"/>
      <c r="M781" s="152"/>
      <c r="N781" s="150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</row>
    <row r="782" customFormat="false" ht="11.25" hidden="false" customHeight="true" outlineLevel="0" collapsed="false">
      <c r="A782" s="89"/>
      <c r="B782" s="89"/>
      <c r="C782" s="89"/>
      <c r="D782" s="150"/>
      <c r="E782" s="89"/>
      <c r="F782" s="151"/>
      <c r="G782" s="151"/>
      <c r="H782" s="151"/>
      <c r="I782" s="151"/>
      <c r="J782" s="152"/>
      <c r="K782" s="152"/>
      <c r="L782" s="152"/>
      <c r="M782" s="152"/>
      <c r="N782" s="150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</row>
    <row r="783" customFormat="false" ht="11.25" hidden="false" customHeight="true" outlineLevel="0" collapsed="false">
      <c r="A783" s="89"/>
      <c r="B783" s="89"/>
      <c r="C783" s="89"/>
      <c r="D783" s="150"/>
      <c r="E783" s="89"/>
      <c r="F783" s="151"/>
      <c r="G783" s="151"/>
      <c r="H783" s="151"/>
      <c r="I783" s="151"/>
      <c r="J783" s="152"/>
      <c r="K783" s="152"/>
      <c r="L783" s="152"/>
      <c r="M783" s="152"/>
      <c r="N783" s="150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</row>
    <row r="784" customFormat="false" ht="11.25" hidden="false" customHeight="true" outlineLevel="0" collapsed="false">
      <c r="A784" s="89"/>
      <c r="B784" s="89"/>
      <c r="C784" s="89"/>
      <c r="D784" s="150"/>
      <c r="E784" s="89"/>
      <c r="F784" s="151"/>
      <c r="G784" s="151"/>
      <c r="H784" s="151"/>
      <c r="I784" s="151"/>
      <c r="J784" s="152"/>
      <c r="K784" s="152"/>
      <c r="L784" s="152"/>
      <c r="M784" s="152"/>
      <c r="N784" s="150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</row>
    <row r="785" customFormat="false" ht="11.25" hidden="false" customHeight="true" outlineLevel="0" collapsed="false">
      <c r="A785" s="89"/>
      <c r="B785" s="89"/>
      <c r="C785" s="89"/>
      <c r="D785" s="150"/>
      <c r="E785" s="89"/>
      <c r="F785" s="151"/>
      <c r="G785" s="151"/>
      <c r="H785" s="151"/>
      <c r="I785" s="151"/>
      <c r="J785" s="152"/>
      <c r="K785" s="152"/>
      <c r="L785" s="152"/>
      <c r="M785" s="152"/>
      <c r="N785" s="150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</row>
    <row r="786" customFormat="false" ht="11.25" hidden="false" customHeight="true" outlineLevel="0" collapsed="false">
      <c r="A786" s="89"/>
      <c r="B786" s="89"/>
      <c r="C786" s="89"/>
      <c r="D786" s="150"/>
      <c r="E786" s="89"/>
      <c r="F786" s="151"/>
      <c r="G786" s="151"/>
      <c r="H786" s="151"/>
      <c r="I786" s="151"/>
      <c r="J786" s="152"/>
      <c r="K786" s="152"/>
      <c r="L786" s="152"/>
      <c r="M786" s="152"/>
      <c r="N786" s="150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</row>
    <row r="787" customFormat="false" ht="11.25" hidden="false" customHeight="true" outlineLevel="0" collapsed="false">
      <c r="A787" s="89"/>
      <c r="B787" s="89"/>
      <c r="C787" s="89"/>
      <c r="D787" s="150"/>
      <c r="E787" s="89"/>
      <c r="F787" s="151"/>
      <c r="G787" s="151"/>
      <c r="H787" s="151"/>
      <c r="I787" s="151"/>
      <c r="J787" s="152"/>
      <c r="K787" s="152"/>
      <c r="L787" s="152"/>
      <c r="M787" s="152"/>
      <c r="N787" s="150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</row>
    <row r="788" customFormat="false" ht="11.25" hidden="false" customHeight="true" outlineLevel="0" collapsed="false">
      <c r="A788" s="89"/>
      <c r="B788" s="89"/>
      <c r="C788" s="89"/>
      <c r="D788" s="150"/>
      <c r="E788" s="89"/>
      <c r="F788" s="151"/>
      <c r="G788" s="151"/>
      <c r="H788" s="151"/>
      <c r="I788" s="151"/>
      <c r="J788" s="152"/>
      <c r="K788" s="152"/>
      <c r="L788" s="152"/>
      <c r="M788" s="152"/>
      <c r="N788" s="150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</row>
    <row r="789" customFormat="false" ht="11.25" hidden="false" customHeight="true" outlineLevel="0" collapsed="false">
      <c r="A789" s="89"/>
      <c r="B789" s="89"/>
      <c r="C789" s="89"/>
      <c r="D789" s="150"/>
      <c r="E789" s="89"/>
      <c r="F789" s="151"/>
      <c r="G789" s="151"/>
      <c r="H789" s="151"/>
      <c r="I789" s="151"/>
      <c r="J789" s="152"/>
      <c r="K789" s="152"/>
      <c r="L789" s="152"/>
      <c r="M789" s="152"/>
      <c r="N789" s="150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</row>
    <row r="790" customFormat="false" ht="11.25" hidden="false" customHeight="true" outlineLevel="0" collapsed="false">
      <c r="A790" s="89"/>
      <c r="B790" s="89"/>
      <c r="C790" s="89"/>
      <c r="D790" s="150"/>
      <c r="E790" s="89"/>
      <c r="F790" s="151"/>
      <c r="G790" s="151"/>
      <c r="H790" s="151"/>
      <c r="I790" s="151"/>
      <c r="J790" s="152"/>
      <c r="K790" s="152"/>
      <c r="L790" s="152"/>
      <c r="M790" s="152"/>
      <c r="N790" s="150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</row>
    <row r="791" customFormat="false" ht="11.25" hidden="false" customHeight="true" outlineLevel="0" collapsed="false">
      <c r="A791" s="89"/>
      <c r="B791" s="89"/>
      <c r="C791" s="89"/>
      <c r="D791" s="150"/>
      <c r="E791" s="89"/>
      <c r="F791" s="151"/>
      <c r="G791" s="151"/>
      <c r="H791" s="151"/>
      <c r="I791" s="151"/>
      <c r="J791" s="152"/>
      <c r="K791" s="152"/>
      <c r="L791" s="152"/>
      <c r="M791" s="152"/>
      <c r="N791" s="150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</row>
    <row r="792" customFormat="false" ht="11.25" hidden="false" customHeight="true" outlineLevel="0" collapsed="false">
      <c r="A792" s="89"/>
      <c r="B792" s="89"/>
      <c r="C792" s="89"/>
      <c r="D792" s="150"/>
      <c r="E792" s="89"/>
      <c r="F792" s="151"/>
      <c r="G792" s="151"/>
      <c r="H792" s="151"/>
      <c r="I792" s="151"/>
      <c r="J792" s="152"/>
      <c r="K792" s="152"/>
      <c r="L792" s="152"/>
      <c r="M792" s="152"/>
      <c r="N792" s="150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</row>
    <row r="793" customFormat="false" ht="11.25" hidden="false" customHeight="true" outlineLevel="0" collapsed="false">
      <c r="A793" s="89"/>
      <c r="B793" s="89"/>
      <c r="C793" s="89"/>
      <c r="D793" s="150"/>
      <c r="E793" s="89"/>
      <c r="F793" s="151"/>
      <c r="G793" s="151"/>
      <c r="H793" s="151"/>
      <c r="I793" s="151"/>
      <c r="J793" s="152"/>
      <c r="K793" s="152"/>
      <c r="L793" s="152"/>
      <c r="M793" s="152"/>
      <c r="N793" s="150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</row>
    <row r="794" customFormat="false" ht="11.25" hidden="false" customHeight="true" outlineLevel="0" collapsed="false">
      <c r="A794" s="89"/>
      <c r="B794" s="89"/>
      <c r="C794" s="89"/>
      <c r="D794" s="150"/>
      <c r="E794" s="89"/>
      <c r="F794" s="151"/>
      <c r="G794" s="151"/>
      <c r="H794" s="151"/>
      <c r="I794" s="151"/>
      <c r="J794" s="152"/>
      <c r="K794" s="152"/>
      <c r="L794" s="152"/>
      <c r="M794" s="152"/>
      <c r="N794" s="150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</row>
    <row r="795" customFormat="false" ht="11.25" hidden="false" customHeight="true" outlineLevel="0" collapsed="false">
      <c r="A795" s="89"/>
      <c r="B795" s="89"/>
      <c r="C795" s="89"/>
      <c r="D795" s="150"/>
      <c r="E795" s="89"/>
      <c r="F795" s="151"/>
      <c r="G795" s="151"/>
      <c r="H795" s="151"/>
      <c r="I795" s="151"/>
      <c r="J795" s="152"/>
      <c r="K795" s="152"/>
      <c r="L795" s="152"/>
      <c r="M795" s="152"/>
      <c r="N795" s="150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</row>
    <row r="796" customFormat="false" ht="11.25" hidden="false" customHeight="true" outlineLevel="0" collapsed="false">
      <c r="A796" s="89"/>
      <c r="B796" s="89"/>
      <c r="C796" s="89"/>
      <c r="D796" s="150"/>
      <c r="E796" s="89"/>
      <c r="F796" s="151"/>
      <c r="G796" s="151"/>
      <c r="H796" s="151"/>
      <c r="I796" s="151"/>
      <c r="J796" s="152"/>
      <c r="K796" s="152"/>
      <c r="L796" s="152"/>
      <c r="M796" s="152"/>
      <c r="N796" s="150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</row>
    <row r="797" customFormat="false" ht="11.25" hidden="false" customHeight="true" outlineLevel="0" collapsed="false">
      <c r="A797" s="89"/>
      <c r="B797" s="89"/>
      <c r="C797" s="89"/>
      <c r="D797" s="150"/>
      <c r="E797" s="89"/>
      <c r="F797" s="151"/>
      <c r="G797" s="151"/>
      <c r="H797" s="151"/>
      <c r="I797" s="151"/>
      <c r="J797" s="152"/>
      <c r="K797" s="152"/>
      <c r="L797" s="152"/>
      <c r="M797" s="152"/>
      <c r="N797" s="150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</row>
    <row r="798" customFormat="false" ht="11.25" hidden="false" customHeight="true" outlineLevel="0" collapsed="false">
      <c r="A798" s="89"/>
      <c r="B798" s="89"/>
      <c r="C798" s="89"/>
      <c r="D798" s="150"/>
      <c r="E798" s="89"/>
      <c r="F798" s="151"/>
      <c r="G798" s="151"/>
      <c r="H798" s="151"/>
      <c r="I798" s="151"/>
      <c r="J798" s="152"/>
      <c r="K798" s="152"/>
      <c r="L798" s="152"/>
      <c r="M798" s="152"/>
      <c r="N798" s="150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</row>
    <row r="799" customFormat="false" ht="11.25" hidden="false" customHeight="true" outlineLevel="0" collapsed="false">
      <c r="A799" s="89"/>
      <c r="B799" s="89"/>
      <c r="C799" s="89"/>
      <c r="D799" s="150"/>
      <c r="E799" s="89"/>
      <c r="F799" s="151"/>
      <c r="G799" s="151"/>
      <c r="H799" s="151"/>
      <c r="I799" s="151"/>
      <c r="J799" s="152"/>
      <c r="K799" s="152"/>
      <c r="L799" s="152"/>
      <c r="M799" s="152"/>
      <c r="N799" s="150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</row>
    <row r="800" customFormat="false" ht="11.25" hidden="false" customHeight="true" outlineLevel="0" collapsed="false">
      <c r="A800" s="89"/>
      <c r="B800" s="89"/>
      <c r="C800" s="89"/>
      <c r="D800" s="150"/>
      <c r="E800" s="89"/>
      <c r="F800" s="151"/>
      <c r="G800" s="151"/>
      <c r="H800" s="151"/>
      <c r="I800" s="151"/>
      <c r="J800" s="152"/>
      <c r="K800" s="152"/>
      <c r="L800" s="152"/>
      <c r="M800" s="152"/>
      <c r="N800" s="150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</row>
    <row r="801" customFormat="false" ht="11.25" hidden="false" customHeight="true" outlineLevel="0" collapsed="false">
      <c r="A801" s="89"/>
      <c r="B801" s="89"/>
      <c r="C801" s="89"/>
      <c r="D801" s="150"/>
      <c r="E801" s="89"/>
      <c r="F801" s="151"/>
      <c r="G801" s="151"/>
      <c r="H801" s="151"/>
      <c r="I801" s="151"/>
      <c r="J801" s="152"/>
      <c r="K801" s="152"/>
      <c r="L801" s="152"/>
      <c r="M801" s="152"/>
      <c r="N801" s="150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</row>
    <row r="802" customFormat="false" ht="11.25" hidden="false" customHeight="true" outlineLevel="0" collapsed="false">
      <c r="A802" s="89"/>
      <c r="B802" s="89"/>
      <c r="C802" s="89"/>
      <c r="D802" s="150"/>
      <c r="E802" s="89"/>
      <c r="F802" s="151"/>
      <c r="G802" s="151"/>
      <c r="H802" s="151"/>
      <c r="I802" s="151"/>
      <c r="J802" s="152"/>
      <c r="K802" s="152"/>
      <c r="L802" s="152"/>
      <c r="M802" s="152"/>
      <c r="N802" s="150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</row>
    <row r="803" customFormat="false" ht="11.25" hidden="false" customHeight="true" outlineLevel="0" collapsed="false">
      <c r="A803" s="89"/>
      <c r="B803" s="89"/>
      <c r="C803" s="89"/>
      <c r="D803" s="150"/>
      <c r="E803" s="89"/>
      <c r="F803" s="151"/>
      <c r="G803" s="151"/>
      <c r="H803" s="151"/>
      <c r="I803" s="151"/>
      <c r="J803" s="152"/>
      <c r="K803" s="152"/>
      <c r="L803" s="152"/>
      <c r="M803" s="152"/>
      <c r="N803" s="150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</row>
    <row r="804" customFormat="false" ht="11.25" hidden="false" customHeight="true" outlineLevel="0" collapsed="false">
      <c r="A804" s="89"/>
      <c r="B804" s="89"/>
      <c r="C804" s="89"/>
      <c r="D804" s="150"/>
      <c r="E804" s="89"/>
      <c r="F804" s="151"/>
      <c r="G804" s="151"/>
      <c r="H804" s="151"/>
      <c r="I804" s="151"/>
      <c r="J804" s="152"/>
      <c r="K804" s="152"/>
      <c r="L804" s="152"/>
      <c r="M804" s="152"/>
      <c r="N804" s="150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</row>
    <row r="805" customFormat="false" ht="11.25" hidden="false" customHeight="true" outlineLevel="0" collapsed="false">
      <c r="A805" s="89"/>
      <c r="B805" s="89"/>
      <c r="C805" s="89"/>
      <c r="D805" s="150"/>
      <c r="E805" s="89"/>
      <c r="F805" s="151"/>
      <c r="G805" s="151"/>
      <c r="H805" s="151"/>
      <c r="I805" s="151"/>
      <c r="J805" s="152"/>
      <c r="K805" s="152"/>
      <c r="L805" s="152"/>
      <c r="M805" s="152"/>
      <c r="N805" s="150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</row>
    <row r="806" customFormat="false" ht="11.25" hidden="false" customHeight="true" outlineLevel="0" collapsed="false">
      <c r="A806" s="89"/>
      <c r="B806" s="89"/>
      <c r="C806" s="89"/>
      <c r="D806" s="150"/>
      <c r="E806" s="89"/>
      <c r="F806" s="151"/>
      <c r="G806" s="151"/>
      <c r="H806" s="151"/>
      <c r="I806" s="151"/>
      <c r="J806" s="152"/>
      <c r="K806" s="152"/>
      <c r="L806" s="152"/>
      <c r="M806" s="152"/>
      <c r="N806" s="150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</row>
    <row r="807" customFormat="false" ht="11.25" hidden="false" customHeight="true" outlineLevel="0" collapsed="false">
      <c r="A807" s="89"/>
      <c r="B807" s="89"/>
      <c r="C807" s="89"/>
      <c r="D807" s="150"/>
      <c r="E807" s="89"/>
      <c r="F807" s="151"/>
      <c r="G807" s="151"/>
      <c r="H807" s="151"/>
      <c r="I807" s="151"/>
      <c r="J807" s="152"/>
      <c r="K807" s="152"/>
      <c r="L807" s="152"/>
      <c r="M807" s="152"/>
      <c r="N807" s="150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</row>
    <row r="808" customFormat="false" ht="11.25" hidden="false" customHeight="true" outlineLevel="0" collapsed="false">
      <c r="A808" s="89"/>
      <c r="B808" s="89"/>
      <c r="C808" s="89"/>
      <c r="D808" s="150"/>
      <c r="E808" s="89"/>
      <c r="F808" s="151"/>
      <c r="G808" s="151"/>
      <c r="H808" s="151"/>
      <c r="I808" s="151"/>
      <c r="J808" s="152"/>
      <c r="K808" s="152"/>
      <c r="L808" s="152"/>
      <c r="M808" s="152"/>
      <c r="N808" s="150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</row>
    <row r="809" customFormat="false" ht="11.25" hidden="false" customHeight="true" outlineLevel="0" collapsed="false">
      <c r="A809" s="89"/>
      <c r="B809" s="89"/>
      <c r="C809" s="89"/>
      <c r="D809" s="150"/>
      <c r="E809" s="89"/>
      <c r="F809" s="151"/>
      <c r="G809" s="151"/>
      <c r="H809" s="151"/>
      <c r="I809" s="151"/>
      <c r="J809" s="152"/>
      <c r="K809" s="152"/>
      <c r="L809" s="152"/>
      <c r="M809" s="152"/>
      <c r="N809" s="150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</row>
    <row r="810" customFormat="false" ht="11.25" hidden="false" customHeight="true" outlineLevel="0" collapsed="false">
      <c r="A810" s="89"/>
      <c r="B810" s="89"/>
      <c r="C810" s="89"/>
      <c r="D810" s="150"/>
      <c r="E810" s="89"/>
      <c r="F810" s="151"/>
      <c r="G810" s="151"/>
      <c r="H810" s="151"/>
      <c r="I810" s="151"/>
      <c r="J810" s="152"/>
      <c r="K810" s="152"/>
      <c r="L810" s="152"/>
      <c r="M810" s="152"/>
      <c r="N810" s="150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</row>
    <row r="811" customFormat="false" ht="11.25" hidden="false" customHeight="true" outlineLevel="0" collapsed="false">
      <c r="A811" s="89"/>
      <c r="B811" s="89"/>
      <c r="C811" s="89"/>
      <c r="D811" s="150"/>
      <c r="E811" s="89"/>
      <c r="F811" s="151"/>
      <c r="G811" s="151"/>
      <c r="H811" s="151"/>
      <c r="I811" s="151"/>
      <c r="J811" s="152"/>
      <c r="K811" s="152"/>
      <c r="L811" s="152"/>
      <c r="M811" s="152"/>
      <c r="N811" s="150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</row>
    <row r="812" customFormat="false" ht="11.25" hidden="false" customHeight="true" outlineLevel="0" collapsed="false">
      <c r="A812" s="89"/>
      <c r="B812" s="89"/>
      <c r="C812" s="89"/>
      <c r="D812" s="150"/>
      <c r="E812" s="89"/>
      <c r="F812" s="151"/>
      <c r="G812" s="151"/>
      <c r="H812" s="151"/>
      <c r="I812" s="151"/>
      <c r="J812" s="152"/>
      <c r="K812" s="152"/>
      <c r="L812" s="152"/>
      <c r="M812" s="152"/>
      <c r="N812" s="150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</row>
    <row r="813" customFormat="false" ht="11.25" hidden="false" customHeight="true" outlineLevel="0" collapsed="false">
      <c r="A813" s="89"/>
      <c r="B813" s="89"/>
      <c r="C813" s="89"/>
      <c r="D813" s="150"/>
      <c r="E813" s="89"/>
      <c r="F813" s="151"/>
      <c r="G813" s="151"/>
      <c r="H813" s="151"/>
      <c r="I813" s="151"/>
      <c r="J813" s="152"/>
      <c r="K813" s="152"/>
      <c r="L813" s="152"/>
      <c r="M813" s="152"/>
      <c r="N813" s="150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</row>
    <row r="814" customFormat="false" ht="11.25" hidden="false" customHeight="true" outlineLevel="0" collapsed="false">
      <c r="A814" s="89"/>
      <c r="B814" s="89"/>
      <c r="C814" s="89"/>
      <c r="D814" s="150"/>
      <c r="E814" s="89"/>
      <c r="F814" s="151"/>
      <c r="G814" s="151"/>
      <c r="H814" s="151"/>
      <c r="I814" s="151"/>
      <c r="J814" s="152"/>
      <c r="K814" s="152"/>
      <c r="L814" s="152"/>
      <c r="M814" s="152"/>
      <c r="N814" s="150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</row>
    <row r="815" customFormat="false" ht="11.25" hidden="false" customHeight="true" outlineLevel="0" collapsed="false">
      <c r="A815" s="89"/>
      <c r="B815" s="89"/>
      <c r="C815" s="89"/>
      <c r="D815" s="150"/>
      <c r="E815" s="89"/>
      <c r="F815" s="151"/>
      <c r="G815" s="151"/>
      <c r="H815" s="151"/>
      <c r="I815" s="151"/>
      <c r="J815" s="152"/>
      <c r="K815" s="152"/>
      <c r="L815" s="152"/>
      <c r="M815" s="152"/>
      <c r="N815" s="150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</row>
    <row r="816" customFormat="false" ht="11.25" hidden="false" customHeight="true" outlineLevel="0" collapsed="false">
      <c r="A816" s="89"/>
      <c r="B816" s="89"/>
      <c r="C816" s="89"/>
      <c r="D816" s="150"/>
      <c r="E816" s="89"/>
      <c r="F816" s="151"/>
      <c r="G816" s="151"/>
      <c r="H816" s="151"/>
      <c r="I816" s="151"/>
      <c r="J816" s="152"/>
      <c r="K816" s="152"/>
      <c r="L816" s="152"/>
      <c r="M816" s="152"/>
      <c r="N816" s="150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</row>
    <row r="817" customFormat="false" ht="11.25" hidden="false" customHeight="true" outlineLevel="0" collapsed="false">
      <c r="A817" s="89"/>
      <c r="B817" s="89"/>
      <c r="C817" s="89"/>
      <c r="D817" s="150"/>
      <c r="E817" s="89"/>
      <c r="F817" s="151"/>
      <c r="G817" s="151"/>
      <c r="H817" s="151"/>
      <c r="I817" s="151"/>
      <c r="J817" s="152"/>
      <c r="K817" s="152"/>
      <c r="L817" s="152"/>
      <c r="M817" s="152"/>
      <c r="N817" s="150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</row>
    <row r="818" customFormat="false" ht="11.25" hidden="false" customHeight="true" outlineLevel="0" collapsed="false">
      <c r="A818" s="89"/>
      <c r="B818" s="89"/>
      <c r="C818" s="89"/>
      <c r="D818" s="150"/>
      <c r="E818" s="89"/>
      <c r="F818" s="151"/>
      <c r="G818" s="151"/>
      <c r="H818" s="151"/>
      <c r="I818" s="151"/>
      <c r="J818" s="152"/>
      <c r="K818" s="152"/>
      <c r="L818" s="152"/>
      <c r="M818" s="152"/>
      <c r="N818" s="150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</row>
    <row r="819" customFormat="false" ht="11.25" hidden="false" customHeight="true" outlineLevel="0" collapsed="false">
      <c r="A819" s="89"/>
      <c r="B819" s="89"/>
      <c r="C819" s="89"/>
      <c r="D819" s="150"/>
      <c r="E819" s="89"/>
      <c r="F819" s="151"/>
      <c r="G819" s="151"/>
      <c r="H819" s="151"/>
      <c r="I819" s="151"/>
      <c r="J819" s="152"/>
      <c r="K819" s="152"/>
      <c r="L819" s="152"/>
      <c r="M819" s="152"/>
      <c r="N819" s="150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</row>
    <row r="820" customFormat="false" ht="11.25" hidden="false" customHeight="true" outlineLevel="0" collapsed="false">
      <c r="A820" s="89"/>
      <c r="B820" s="89"/>
      <c r="C820" s="89"/>
      <c r="D820" s="150"/>
      <c r="E820" s="89"/>
      <c r="F820" s="151"/>
      <c r="G820" s="151"/>
      <c r="H820" s="151"/>
      <c r="I820" s="151"/>
      <c r="J820" s="152"/>
      <c r="K820" s="152"/>
      <c r="L820" s="152"/>
      <c r="M820" s="152"/>
      <c r="N820" s="150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</row>
    <row r="821" customFormat="false" ht="11.25" hidden="false" customHeight="true" outlineLevel="0" collapsed="false">
      <c r="A821" s="89"/>
      <c r="B821" s="89"/>
      <c r="C821" s="89"/>
      <c r="D821" s="150"/>
      <c r="E821" s="89"/>
      <c r="F821" s="151"/>
      <c r="G821" s="151"/>
      <c r="H821" s="151"/>
      <c r="I821" s="151"/>
      <c r="J821" s="152"/>
      <c r="K821" s="152"/>
      <c r="L821" s="152"/>
      <c r="M821" s="152"/>
      <c r="N821" s="150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</row>
    <row r="822" customFormat="false" ht="11.25" hidden="false" customHeight="true" outlineLevel="0" collapsed="false">
      <c r="A822" s="89"/>
      <c r="B822" s="89"/>
      <c r="C822" s="89"/>
      <c r="D822" s="150"/>
      <c r="E822" s="89"/>
      <c r="F822" s="151"/>
      <c r="G822" s="151"/>
      <c r="H822" s="151"/>
      <c r="I822" s="151"/>
      <c r="J822" s="152"/>
      <c r="K822" s="152"/>
      <c r="L822" s="152"/>
      <c r="M822" s="152"/>
      <c r="N822" s="150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</row>
    <row r="823" customFormat="false" ht="11.25" hidden="false" customHeight="true" outlineLevel="0" collapsed="false">
      <c r="A823" s="89"/>
      <c r="B823" s="89"/>
      <c r="C823" s="89"/>
      <c r="D823" s="150"/>
      <c r="E823" s="89"/>
      <c r="F823" s="151"/>
      <c r="G823" s="151"/>
      <c r="H823" s="151"/>
      <c r="I823" s="151"/>
      <c r="J823" s="152"/>
      <c r="K823" s="152"/>
      <c r="L823" s="152"/>
      <c r="M823" s="152"/>
      <c r="N823" s="150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</row>
    <row r="824" customFormat="false" ht="11.25" hidden="false" customHeight="true" outlineLevel="0" collapsed="false">
      <c r="A824" s="89"/>
      <c r="B824" s="89"/>
      <c r="C824" s="89"/>
      <c r="D824" s="150"/>
      <c r="E824" s="89"/>
      <c r="F824" s="151"/>
      <c r="G824" s="151"/>
      <c r="H824" s="151"/>
      <c r="I824" s="151"/>
      <c r="J824" s="152"/>
      <c r="K824" s="152"/>
      <c r="L824" s="152"/>
      <c r="M824" s="152"/>
      <c r="N824" s="150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</row>
    <row r="825" customFormat="false" ht="11.25" hidden="false" customHeight="true" outlineLevel="0" collapsed="false">
      <c r="A825" s="89"/>
      <c r="B825" s="89"/>
      <c r="C825" s="89"/>
      <c r="D825" s="150"/>
      <c r="E825" s="89"/>
      <c r="F825" s="151"/>
      <c r="G825" s="151"/>
      <c r="H825" s="151"/>
      <c r="I825" s="151"/>
      <c r="J825" s="152"/>
      <c r="K825" s="152"/>
      <c r="L825" s="152"/>
      <c r="M825" s="152"/>
      <c r="N825" s="150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</row>
    <row r="826" customFormat="false" ht="11.25" hidden="false" customHeight="true" outlineLevel="0" collapsed="false">
      <c r="A826" s="89"/>
      <c r="B826" s="89"/>
      <c r="C826" s="89"/>
      <c r="D826" s="150"/>
      <c r="E826" s="89"/>
      <c r="F826" s="151"/>
      <c r="G826" s="151"/>
      <c r="H826" s="151"/>
      <c r="I826" s="151"/>
      <c r="J826" s="152"/>
      <c r="K826" s="152"/>
      <c r="L826" s="152"/>
      <c r="M826" s="152"/>
      <c r="N826" s="150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</row>
    <row r="827" customFormat="false" ht="11.25" hidden="false" customHeight="true" outlineLevel="0" collapsed="false">
      <c r="A827" s="89"/>
      <c r="B827" s="89"/>
      <c r="C827" s="89"/>
      <c r="D827" s="150"/>
      <c r="E827" s="89"/>
      <c r="F827" s="151"/>
      <c r="G827" s="151"/>
      <c r="H827" s="151"/>
      <c r="I827" s="151"/>
      <c r="J827" s="152"/>
      <c r="K827" s="152"/>
      <c r="L827" s="152"/>
      <c r="M827" s="152"/>
      <c r="N827" s="150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</row>
    <row r="828" customFormat="false" ht="11.25" hidden="false" customHeight="true" outlineLevel="0" collapsed="false">
      <c r="A828" s="89"/>
      <c r="B828" s="89"/>
      <c r="C828" s="89"/>
      <c r="D828" s="150"/>
      <c r="E828" s="89"/>
      <c r="F828" s="151"/>
      <c r="G828" s="151"/>
      <c r="H828" s="151"/>
      <c r="I828" s="151"/>
      <c r="J828" s="152"/>
      <c r="K828" s="152"/>
      <c r="L828" s="152"/>
      <c r="M828" s="152"/>
      <c r="N828" s="150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</row>
    <row r="829" customFormat="false" ht="11.25" hidden="false" customHeight="true" outlineLevel="0" collapsed="false">
      <c r="A829" s="89"/>
      <c r="B829" s="89"/>
      <c r="C829" s="89"/>
      <c r="D829" s="150"/>
      <c r="E829" s="89"/>
      <c r="F829" s="151"/>
      <c r="G829" s="151"/>
      <c r="H829" s="151"/>
      <c r="I829" s="151"/>
      <c r="J829" s="152"/>
      <c r="K829" s="152"/>
      <c r="L829" s="152"/>
      <c r="M829" s="152"/>
      <c r="N829" s="150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</row>
    <row r="830" customFormat="false" ht="11.25" hidden="false" customHeight="true" outlineLevel="0" collapsed="false">
      <c r="A830" s="89"/>
      <c r="B830" s="89"/>
      <c r="C830" s="89"/>
      <c r="D830" s="150"/>
      <c r="E830" s="89"/>
      <c r="F830" s="151"/>
      <c r="G830" s="151"/>
      <c r="H830" s="151"/>
      <c r="I830" s="151"/>
      <c r="J830" s="152"/>
      <c r="K830" s="152"/>
      <c r="L830" s="152"/>
      <c r="M830" s="152"/>
      <c r="N830" s="150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</row>
    <row r="831" customFormat="false" ht="11.25" hidden="false" customHeight="true" outlineLevel="0" collapsed="false">
      <c r="A831" s="89"/>
      <c r="B831" s="89"/>
      <c r="C831" s="89"/>
      <c r="D831" s="150"/>
      <c r="E831" s="89"/>
      <c r="F831" s="151"/>
      <c r="G831" s="151"/>
      <c r="H831" s="151"/>
      <c r="I831" s="151"/>
      <c r="J831" s="152"/>
      <c r="K831" s="152"/>
      <c r="L831" s="152"/>
      <c r="M831" s="152"/>
      <c r="N831" s="150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</row>
    <row r="832" customFormat="false" ht="11.25" hidden="false" customHeight="true" outlineLevel="0" collapsed="false">
      <c r="A832" s="89"/>
      <c r="B832" s="89"/>
      <c r="C832" s="89"/>
      <c r="D832" s="150"/>
      <c r="E832" s="89"/>
      <c r="F832" s="151"/>
      <c r="G832" s="151"/>
      <c r="H832" s="151"/>
      <c r="I832" s="151"/>
      <c r="J832" s="152"/>
      <c r="K832" s="152"/>
      <c r="L832" s="152"/>
      <c r="M832" s="152"/>
      <c r="N832" s="150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</row>
    <row r="833" customFormat="false" ht="11.25" hidden="false" customHeight="true" outlineLevel="0" collapsed="false">
      <c r="A833" s="89"/>
      <c r="B833" s="89"/>
      <c r="C833" s="89"/>
      <c r="D833" s="150"/>
      <c r="E833" s="89"/>
      <c r="F833" s="151"/>
      <c r="G833" s="151"/>
      <c r="H833" s="151"/>
      <c r="I833" s="151"/>
      <c r="J833" s="152"/>
      <c r="K833" s="152"/>
      <c r="L833" s="152"/>
      <c r="M833" s="152"/>
      <c r="N833" s="150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</row>
    <row r="834" customFormat="false" ht="11.25" hidden="false" customHeight="true" outlineLevel="0" collapsed="false">
      <c r="A834" s="89"/>
      <c r="B834" s="89"/>
      <c r="C834" s="89"/>
      <c r="D834" s="150"/>
      <c r="E834" s="89"/>
      <c r="F834" s="151"/>
      <c r="G834" s="151"/>
      <c r="H834" s="151"/>
      <c r="I834" s="151"/>
      <c r="J834" s="152"/>
      <c r="K834" s="152"/>
      <c r="L834" s="152"/>
      <c r="M834" s="152"/>
      <c r="N834" s="150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</row>
    <row r="835" customFormat="false" ht="11.25" hidden="false" customHeight="true" outlineLevel="0" collapsed="false">
      <c r="A835" s="89"/>
      <c r="B835" s="89"/>
      <c r="C835" s="89"/>
      <c r="D835" s="150"/>
      <c r="E835" s="89"/>
      <c r="F835" s="151"/>
      <c r="G835" s="151"/>
      <c r="H835" s="151"/>
      <c r="I835" s="151"/>
      <c r="J835" s="152"/>
      <c r="K835" s="152"/>
      <c r="L835" s="152"/>
      <c r="M835" s="152"/>
      <c r="N835" s="150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</row>
    <row r="836" customFormat="false" ht="11.25" hidden="false" customHeight="true" outlineLevel="0" collapsed="false">
      <c r="A836" s="89"/>
      <c r="B836" s="89"/>
      <c r="C836" s="89"/>
      <c r="D836" s="150"/>
      <c r="E836" s="89"/>
      <c r="F836" s="151"/>
      <c r="G836" s="151"/>
      <c r="H836" s="151"/>
      <c r="I836" s="151"/>
      <c r="J836" s="152"/>
      <c r="K836" s="152"/>
      <c r="L836" s="152"/>
      <c r="M836" s="152"/>
      <c r="N836" s="150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</row>
    <row r="837" customFormat="false" ht="11.25" hidden="false" customHeight="true" outlineLevel="0" collapsed="false">
      <c r="A837" s="89"/>
      <c r="B837" s="89"/>
      <c r="C837" s="89"/>
      <c r="D837" s="150"/>
      <c r="E837" s="89"/>
      <c r="F837" s="151"/>
      <c r="G837" s="151"/>
      <c r="H837" s="151"/>
      <c r="I837" s="151"/>
      <c r="J837" s="152"/>
      <c r="K837" s="152"/>
      <c r="L837" s="152"/>
      <c r="M837" s="152"/>
      <c r="N837" s="150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</row>
    <row r="838" customFormat="false" ht="11.25" hidden="false" customHeight="true" outlineLevel="0" collapsed="false">
      <c r="A838" s="89"/>
      <c r="B838" s="89"/>
      <c r="C838" s="89"/>
      <c r="D838" s="150"/>
      <c r="E838" s="89"/>
      <c r="F838" s="151"/>
      <c r="G838" s="151"/>
      <c r="H838" s="151"/>
      <c r="I838" s="151"/>
      <c r="J838" s="152"/>
      <c r="K838" s="152"/>
      <c r="L838" s="152"/>
      <c r="M838" s="152"/>
      <c r="N838" s="150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</row>
    <row r="839" customFormat="false" ht="11.25" hidden="false" customHeight="true" outlineLevel="0" collapsed="false">
      <c r="A839" s="89"/>
      <c r="B839" s="89"/>
      <c r="C839" s="89"/>
      <c r="D839" s="150"/>
      <c r="E839" s="89"/>
      <c r="F839" s="151"/>
      <c r="G839" s="151"/>
      <c r="H839" s="151"/>
      <c r="I839" s="151"/>
      <c r="J839" s="152"/>
      <c r="K839" s="152"/>
      <c r="L839" s="152"/>
      <c r="M839" s="152"/>
      <c r="N839" s="150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</row>
    <row r="840" customFormat="false" ht="11.25" hidden="false" customHeight="true" outlineLevel="0" collapsed="false">
      <c r="A840" s="89"/>
      <c r="B840" s="89"/>
      <c r="C840" s="89"/>
      <c r="D840" s="150"/>
      <c r="E840" s="89"/>
      <c r="F840" s="151"/>
      <c r="G840" s="151"/>
      <c r="H840" s="151"/>
      <c r="I840" s="151"/>
      <c r="J840" s="152"/>
      <c r="K840" s="152"/>
      <c r="L840" s="152"/>
      <c r="M840" s="152"/>
      <c r="N840" s="150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</row>
    <row r="841" customFormat="false" ht="11.25" hidden="false" customHeight="true" outlineLevel="0" collapsed="false">
      <c r="A841" s="89"/>
      <c r="B841" s="89"/>
      <c r="C841" s="89"/>
      <c r="D841" s="150"/>
      <c r="E841" s="89"/>
      <c r="F841" s="151"/>
      <c r="G841" s="151"/>
      <c r="H841" s="151"/>
      <c r="I841" s="151"/>
      <c r="J841" s="152"/>
      <c r="K841" s="152"/>
      <c r="L841" s="152"/>
      <c r="M841" s="152"/>
      <c r="N841" s="150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</row>
    <row r="842" customFormat="false" ht="11.25" hidden="false" customHeight="true" outlineLevel="0" collapsed="false">
      <c r="A842" s="89"/>
      <c r="B842" s="89"/>
      <c r="C842" s="89"/>
      <c r="D842" s="150"/>
      <c r="E842" s="89"/>
      <c r="F842" s="151"/>
      <c r="G842" s="151"/>
      <c r="H842" s="151"/>
      <c r="I842" s="151"/>
      <c r="J842" s="152"/>
      <c r="K842" s="152"/>
      <c r="L842" s="152"/>
      <c r="M842" s="152"/>
      <c r="N842" s="150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</row>
    <row r="843" customFormat="false" ht="11.25" hidden="false" customHeight="true" outlineLevel="0" collapsed="false">
      <c r="A843" s="89"/>
      <c r="B843" s="89"/>
      <c r="C843" s="89"/>
      <c r="D843" s="150"/>
      <c r="E843" s="89"/>
      <c r="F843" s="151"/>
      <c r="G843" s="151"/>
      <c r="H843" s="151"/>
      <c r="I843" s="151"/>
      <c r="J843" s="152"/>
      <c r="K843" s="152"/>
      <c r="L843" s="152"/>
      <c r="M843" s="152"/>
      <c r="N843" s="150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</row>
    <row r="844" customFormat="false" ht="11.25" hidden="false" customHeight="true" outlineLevel="0" collapsed="false">
      <c r="A844" s="89"/>
      <c r="B844" s="89"/>
      <c r="C844" s="89"/>
      <c r="D844" s="150"/>
      <c r="E844" s="89"/>
      <c r="F844" s="151"/>
      <c r="G844" s="151"/>
      <c r="H844" s="151"/>
      <c r="I844" s="151"/>
      <c r="J844" s="152"/>
      <c r="K844" s="152"/>
      <c r="L844" s="152"/>
      <c r="M844" s="152"/>
      <c r="N844" s="150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</row>
    <row r="845" customFormat="false" ht="11.25" hidden="false" customHeight="true" outlineLevel="0" collapsed="false">
      <c r="A845" s="89"/>
      <c r="B845" s="89"/>
      <c r="C845" s="89"/>
      <c r="D845" s="150"/>
      <c r="E845" s="89"/>
      <c r="F845" s="151"/>
      <c r="G845" s="151"/>
      <c r="H845" s="151"/>
      <c r="I845" s="151"/>
      <c r="J845" s="152"/>
      <c r="K845" s="152"/>
      <c r="L845" s="152"/>
      <c r="M845" s="152"/>
      <c r="N845" s="150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</row>
    <row r="846" customFormat="false" ht="11.25" hidden="false" customHeight="true" outlineLevel="0" collapsed="false">
      <c r="A846" s="89"/>
      <c r="B846" s="89"/>
      <c r="C846" s="89"/>
      <c r="D846" s="150"/>
      <c r="E846" s="89"/>
      <c r="F846" s="151"/>
      <c r="G846" s="151"/>
      <c r="H846" s="151"/>
      <c r="I846" s="151"/>
      <c r="J846" s="152"/>
      <c r="K846" s="152"/>
      <c r="L846" s="152"/>
      <c r="M846" s="152"/>
      <c r="N846" s="150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</row>
    <row r="847" customFormat="false" ht="11.25" hidden="false" customHeight="true" outlineLevel="0" collapsed="false">
      <c r="A847" s="89"/>
      <c r="B847" s="89"/>
      <c r="C847" s="89"/>
      <c r="D847" s="150"/>
      <c r="E847" s="89"/>
      <c r="F847" s="151"/>
      <c r="G847" s="151"/>
      <c r="H847" s="151"/>
      <c r="I847" s="151"/>
      <c r="J847" s="152"/>
      <c r="K847" s="152"/>
      <c r="L847" s="152"/>
      <c r="M847" s="152"/>
      <c r="N847" s="150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</row>
    <row r="848" customFormat="false" ht="11.25" hidden="false" customHeight="true" outlineLevel="0" collapsed="false">
      <c r="A848" s="89"/>
      <c r="B848" s="89"/>
      <c r="C848" s="89"/>
      <c r="D848" s="150"/>
      <c r="E848" s="89"/>
      <c r="F848" s="151"/>
      <c r="G848" s="151"/>
      <c r="H848" s="151"/>
      <c r="I848" s="151"/>
      <c r="J848" s="152"/>
      <c r="K848" s="152"/>
      <c r="L848" s="152"/>
      <c r="M848" s="152"/>
      <c r="N848" s="150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</row>
    <row r="849" customFormat="false" ht="11.25" hidden="false" customHeight="true" outlineLevel="0" collapsed="false">
      <c r="A849" s="89"/>
      <c r="B849" s="89"/>
      <c r="C849" s="89"/>
      <c r="D849" s="150"/>
      <c r="E849" s="89"/>
      <c r="F849" s="151"/>
      <c r="G849" s="151"/>
      <c r="H849" s="151"/>
      <c r="I849" s="151"/>
      <c r="J849" s="152"/>
      <c r="K849" s="152"/>
      <c r="L849" s="152"/>
      <c r="M849" s="152"/>
      <c r="N849" s="150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</row>
    <row r="850" customFormat="false" ht="11.25" hidden="false" customHeight="true" outlineLevel="0" collapsed="false">
      <c r="A850" s="89"/>
      <c r="B850" s="89"/>
      <c r="C850" s="89"/>
      <c r="D850" s="150"/>
      <c r="E850" s="89"/>
      <c r="F850" s="151"/>
      <c r="G850" s="151"/>
      <c r="H850" s="151"/>
      <c r="I850" s="151"/>
      <c r="J850" s="152"/>
      <c r="K850" s="152"/>
      <c r="L850" s="152"/>
      <c r="M850" s="152"/>
      <c r="N850" s="150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</row>
    <row r="851" customFormat="false" ht="11.25" hidden="false" customHeight="true" outlineLevel="0" collapsed="false">
      <c r="A851" s="89"/>
      <c r="B851" s="89"/>
      <c r="C851" s="89"/>
      <c r="D851" s="150"/>
      <c r="E851" s="89"/>
      <c r="F851" s="151"/>
      <c r="G851" s="151"/>
      <c r="H851" s="151"/>
      <c r="I851" s="151"/>
      <c r="J851" s="152"/>
      <c r="K851" s="152"/>
      <c r="L851" s="152"/>
      <c r="M851" s="152"/>
      <c r="N851" s="150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</row>
    <row r="852" customFormat="false" ht="11.25" hidden="false" customHeight="true" outlineLevel="0" collapsed="false">
      <c r="A852" s="89"/>
      <c r="B852" s="89"/>
      <c r="C852" s="89"/>
      <c r="D852" s="150"/>
      <c r="E852" s="89"/>
      <c r="F852" s="151"/>
      <c r="G852" s="151"/>
      <c r="H852" s="151"/>
      <c r="I852" s="151"/>
      <c r="J852" s="152"/>
      <c r="K852" s="152"/>
      <c r="L852" s="152"/>
      <c r="M852" s="152"/>
      <c r="N852" s="150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</row>
    <row r="853" customFormat="false" ht="11.25" hidden="false" customHeight="true" outlineLevel="0" collapsed="false">
      <c r="A853" s="89"/>
      <c r="B853" s="89"/>
      <c r="C853" s="89"/>
      <c r="D853" s="150"/>
      <c r="E853" s="89"/>
      <c r="F853" s="151"/>
      <c r="G853" s="151"/>
      <c r="H853" s="151"/>
      <c r="I853" s="151"/>
      <c r="J853" s="152"/>
      <c r="K853" s="152"/>
      <c r="L853" s="152"/>
      <c r="M853" s="152"/>
      <c r="N853" s="150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</row>
    <row r="854" customFormat="false" ht="11.25" hidden="false" customHeight="true" outlineLevel="0" collapsed="false">
      <c r="A854" s="89"/>
      <c r="B854" s="89"/>
      <c r="C854" s="89"/>
      <c r="D854" s="150"/>
      <c r="E854" s="89"/>
      <c r="F854" s="151"/>
      <c r="G854" s="151"/>
      <c r="H854" s="151"/>
      <c r="I854" s="151"/>
      <c r="J854" s="152"/>
      <c r="K854" s="152"/>
      <c r="L854" s="152"/>
      <c r="M854" s="152"/>
      <c r="N854" s="150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</row>
    <row r="855" customFormat="false" ht="11.25" hidden="false" customHeight="true" outlineLevel="0" collapsed="false">
      <c r="A855" s="89"/>
      <c r="B855" s="89"/>
      <c r="C855" s="89"/>
      <c r="D855" s="150"/>
      <c r="E855" s="89"/>
      <c r="F855" s="151"/>
      <c r="G855" s="151"/>
      <c r="H855" s="151"/>
      <c r="I855" s="151"/>
      <c r="J855" s="152"/>
      <c r="K855" s="152"/>
      <c r="L855" s="152"/>
      <c r="M855" s="152"/>
      <c r="N855" s="150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</row>
    <row r="856" customFormat="false" ht="11.25" hidden="false" customHeight="true" outlineLevel="0" collapsed="false">
      <c r="A856" s="89"/>
      <c r="B856" s="89"/>
      <c r="C856" s="89"/>
      <c r="D856" s="150"/>
      <c r="E856" s="89"/>
      <c r="F856" s="151"/>
      <c r="G856" s="151"/>
      <c r="H856" s="151"/>
      <c r="I856" s="151"/>
      <c r="J856" s="152"/>
      <c r="K856" s="152"/>
      <c r="L856" s="152"/>
      <c r="M856" s="152"/>
      <c r="N856" s="150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</row>
    <row r="857" customFormat="false" ht="11.25" hidden="false" customHeight="true" outlineLevel="0" collapsed="false">
      <c r="A857" s="89"/>
      <c r="B857" s="89"/>
      <c r="C857" s="89"/>
      <c r="D857" s="150"/>
      <c r="E857" s="89"/>
      <c r="F857" s="151"/>
      <c r="G857" s="151"/>
      <c r="H857" s="151"/>
      <c r="I857" s="151"/>
      <c r="J857" s="152"/>
      <c r="K857" s="152"/>
      <c r="L857" s="152"/>
      <c r="M857" s="152"/>
      <c r="N857" s="150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</row>
    <row r="858" customFormat="false" ht="11.25" hidden="false" customHeight="true" outlineLevel="0" collapsed="false">
      <c r="A858" s="89"/>
      <c r="B858" s="89"/>
      <c r="C858" s="89"/>
      <c r="D858" s="150"/>
      <c r="E858" s="89"/>
      <c r="F858" s="151"/>
      <c r="G858" s="151"/>
      <c r="H858" s="151"/>
      <c r="I858" s="151"/>
      <c r="J858" s="152"/>
      <c r="K858" s="152"/>
      <c r="L858" s="152"/>
      <c r="M858" s="152"/>
      <c r="N858" s="150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</row>
    <row r="859" customFormat="false" ht="11.25" hidden="false" customHeight="true" outlineLevel="0" collapsed="false">
      <c r="A859" s="89"/>
      <c r="B859" s="89"/>
      <c r="C859" s="89"/>
      <c r="D859" s="150"/>
      <c r="E859" s="89"/>
      <c r="F859" s="151"/>
      <c r="G859" s="151"/>
      <c r="H859" s="151"/>
      <c r="I859" s="151"/>
      <c r="J859" s="152"/>
      <c r="K859" s="152"/>
      <c r="L859" s="152"/>
      <c r="M859" s="152"/>
      <c r="N859" s="150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</row>
    <row r="860" customFormat="false" ht="11.25" hidden="false" customHeight="true" outlineLevel="0" collapsed="false">
      <c r="A860" s="89"/>
      <c r="B860" s="89"/>
      <c r="C860" s="89"/>
      <c r="D860" s="150"/>
      <c r="E860" s="89"/>
      <c r="F860" s="151"/>
      <c r="G860" s="151"/>
      <c r="H860" s="151"/>
      <c r="I860" s="151"/>
      <c r="J860" s="152"/>
      <c r="K860" s="152"/>
      <c r="L860" s="152"/>
      <c r="M860" s="152"/>
      <c r="N860" s="150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</row>
    <row r="861" customFormat="false" ht="11.25" hidden="false" customHeight="true" outlineLevel="0" collapsed="false">
      <c r="A861" s="89"/>
      <c r="B861" s="89"/>
      <c r="C861" s="89"/>
      <c r="D861" s="150"/>
      <c r="E861" s="89"/>
      <c r="F861" s="151"/>
      <c r="G861" s="151"/>
      <c r="H861" s="151"/>
      <c r="I861" s="151"/>
      <c r="J861" s="152"/>
      <c r="K861" s="152"/>
      <c r="L861" s="152"/>
      <c r="M861" s="152"/>
      <c r="N861" s="150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</row>
    <row r="862" customFormat="false" ht="11.25" hidden="false" customHeight="true" outlineLevel="0" collapsed="false">
      <c r="A862" s="89"/>
      <c r="B862" s="89"/>
      <c r="C862" s="89"/>
      <c r="D862" s="150"/>
      <c r="E862" s="89"/>
      <c r="F862" s="151"/>
      <c r="G862" s="151"/>
      <c r="H862" s="151"/>
      <c r="I862" s="151"/>
      <c r="J862" s="152"/>
      <c r="K862" s="152"/>
      <c r="L862" s="152"/>
      <c r="M862" s="152"/>
      <c r="N862" s="150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</row>
    <row r="863" customFormat="false" ht="11.25" hidden="false" customHeight="true" outlineLevel="0" collapsed="false">
      <c r="A863" s="89"/>
      <c r="B863" s="89"/>
      <c r="C863" s="89"/>
      <c r="D863" s="150"/>
      <c r="E863" s="89"/>
      <c r="F863" s="151"/>
      <c r="G863" s="151"/>
      <c r="H863" s="151"/>
      <c r="I863" s="151"/>
      <c r="J863" s="152"/>
      <c r="K863" s="152"/>
      <c r="L863" s="152"/>
      <c r="M863" s="152"/>
      <c r="N863" s="150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</row>
    <row r="864" customFormat="false" ht="11.25" hidden="false" customHeight="true" outlineLevel="0" collapsed="false">
      <c r="A864" s="89"/>
      <c r="B864" s="89"/>
      <c r="C864" s="89"/>
      <c r="D864" s="150"/>
      <c r="E864" s="89"/>
      <c r="F864" s="151"/>
      <c r="G864" s="151"/>
      <c r="H864" s="151"/>
      <c r="I864" s="151"/>
      <c r="J864" s="152"/>
      <c r="K864" s="152"/>
      <c r="L864" s="152"/>
      <c r="M864" s="152"/>
      <c r="N864" s="150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</row>
    <row r="865" customFormat="false" ht="11.25" hidden="false" customHeight="true" outlineLevel="0" collapsed="false">
      <c r="A865" s="89"/>
      <c r="B865" s="89"/>
      <c r="C865" s="89"/>
      <c r="D865" s="150"/>
      <c r="E865" s="89"/>
      <c r="F865" s="151"/>
      <c r="G865" s="151"/>
      <c r="H865" s="151"/>
      <c r="I865" s="151"/>
      <c r="J865" s="152"/>
      <c r="K865" s="152"/>
      <c r="L865" s="152"/>
      <c r="M865" s="152"/>
      <c r="N865" s="150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</row>
    <row r="866" customFormat="false" ht="11.25" hidden="false" customHeight="true" outlineLevel="0" collapsed="false">
      <c r="A866" s="89"/>
      <c r="B866" s="89"/>
      <c r="C866" s="89"/>
      <c r="D866" s="150"/>
      <c r="E866" s="89"/>
      <c r="F866" s="151"/>
      <c r="G866" s="151"/>
      <c r="H866" s="151"/>
      <c r="I866" s="151"/>
      <c r="J866" s="152"/>
      <c r="K866" s="152"/>
      <c r="L866" s="152"/>
      <c r="M866" s="152"/>
      <c r="N866" s="150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</row>
    <row r="867" customFormat="false" ht="11.25" hidden="false" customHeight="true" outlineLevel="0" collapsed="false">
      <c r="A867" s="89"/>
      <c r="B867" s="89"/>
      <c r="C867" s="89"/>
      <c r="D867" s="150"/>
      <c r="E867" s="89"/>
      <c r="F867" s="151"/>
      <c r="G867" s="151"/>
      <c r="H867" s="151"/>
      <c r="I867" s="151"/>
      <c r="J867" s="152"/>
      <c r="K867" s="152"/>
      <c r="L867" s="152"/>
      <c r="M867" s="152"/>
      <c r="N867" s="150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</row>
    <row r="868" customFormat="false" ht="11.25" hidden="false" customHeight="true" outlineLevel="0" collapsed="false">
      <c r="A868" s="89"/>
      <c r="B868" s="89"/>
      <c r="C868" s="89"/>
      <c r="D868" s="150"/>
      <c r="E868" s="89"/>
      <c r="F868" s="151"/>
      <c r="G868" s="151"/>
      <c r="H868" s="151"/>
      <c r="I868" s="151"/>
      <c r="J868" s="152"/>
      <c r="K868" s="152"/>
      <c r="L868" s="152"/>
      <c r="M868" s="152"/>
      <c r="N868" s="150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</row>
    <row r="869" customFormat="false" ht="11.25" hidden="false" customHeight="true" outlineLevel="0" collapsed="false">
      <c r="A869" s="89"/>
      <c r="B869" s="89"/>
      <c r="C869" s="89"/>
      <c r="D869" s="150"/>
      <c r="E869" s="89"/>
      <c r="F869" s="151"/>
      <c r="G869" s="151"/>
      <c r="H869" s="151"/>
      <c r="I869" s="151"/>
      <c r="J869" s="152"/>
      <c r="K869" s="152"/>
      <c r="L869" s="152"/>
      <c r="M869" s="152"/>
      <c r="N869" s="150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</row>
    <row r="870" customFormat="false" ht="11.25" hidden="false" customHeight="true" outlineLevel="0" collapsed="false">
      <c r="A870" s="89"/>
      <c r="B870" s="89"/>
      <c r="C870" s="89"/>
      <c r="D870" s="150"/>
      <c r="E870" s="89"/>
      <c r="F870" s="151"/>
      <c r="G870" s="151"/>
      <c r="H870" s="151"/>
      <c r="I870" s="151"/>
      <c r="J870" s="152"/>
      <c r="K870" s="152"/>
      <c r="L870" s="152"/>
      <c r="M870" s="152"/>
      <c r="N870" s="150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</row>
    <row r="871" customFormat="false" ht="11.25" hidden="false" customHeight="true" outlineLevel="0" collapsed="false">
      <c r="A871" s="89"/>
      <c r="B871" s="89"/>
      <c r="C871" s="89"/>
      <c r="D871" s="150"/>
      <c r="E871" s="89"/>
      <c r="F871" s="151"/>
      <c r="G871" s="151"/>
      <c r="H871" s="151"/>
      <c r="I871" s="151"/>
      <c r="J871" s="152"/>
      <c r="K871" s="152"/>
      <c r="L871" s="152"/>
      <c r="M871" s="152"/>
      <c r="N871" s="150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</row>
    <row r="872" customFormat="false" ht="11.25" hidden="false" customHeight="true" outlineLevel="0" collapsed="false">
      <c r="A872" s="89"/>
      <c r="B872" s="89"/>
      <c r="C872" s="89"/>
      <c r="D872" s="150"/>
      <c r="E872" s="89"/>
      <c r="F872" s="151"/>
      <c r="G872" s="151"/>
      <c r="H872" s="151"/>
      <c r="I872" s="151"/>
      <c r="J872" s="152"/>
      <c r="K872" s="152"/>
      <c r="L872" s="152"/>
      <c r="M872" s="152"/>
      <c r="N872" s="150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</row>
    <row r="873" customFormat="false" ht="11.25" hidden="false" customHeight="true" outlineLevel="0" collapsed="false">
      <c r="A873" s="89"/>
      <c r="B873" s="89"/>
      <c r="C873" s="89"/>
      <c r="D873" s="150"/>
      <c r="E873" s="89"/>
      <c r="F873" s="151"/>
      <c r="G873" s="151"/>
      <c r="H873" s="151"/>
      <c r="I873" s="151"/>
      <c r="J873" s="152"/>
      <c r="K873" s="152"/>
      <c r="L873" s="152"/>
      <c r="M873" s="152"/>
      <c r="N873" s="150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</row>
    <row r="874" customFormat="false" ht="11.25" hidden="false" customHeight="true" outlineLevel="0" collapsed="false">
      <c r="A874" s="89"/>
      <c r="B874" s="89"/>
      <c r="C874" s="89"/>
      <c r="D874" s="150"/>
      <c r="E874" s="89"/>
      <c r="F874" s="151"/>
      <c r="G874" s="151"/>
      <c r="H874" s="151"/>
      <c r="I874" s="151"/>
      <c r="J874" s="152"/>
      <c r="K874" s="152"/>
      <c r="L874" s="152"/>
      <c r="M874" s="152"/>
      <c r="N874" s="150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</row>
    <row r="875" customFormat="false" ht="11.25" hidden="false" customHeight="true" outlineLevel="0" collapsed="false">
      <c r="A875" s="89"/>
      <c r="B875" s="89"/>
      <c r="C875" s="89"/>
      <c r="D875" s="150"/>
      <c r="E875" s="89"/>
      <c r="F875" s="151"/>
      <c r="G875" s="151"/>
      <c r="H875" s="151"/>
      <c r="I875" s="151"/>
      <c r="J875" s="152"/>
      <c r="K875" s="152"/>
      <c r="L875" s="152"/>
      <c r="M875" s="152"/>
      <c r="N875" s="150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</row>
    <row r="876" customFormat="false" ht="11.25" hidden="false" customHeight="true" outlineLevel="0" collapsed="false">
      <c r="A876" s="89"/>
      <c r="B876" s="89"/>
      <c r="C876" s="89"/>
      <c r="D876" s="150"/>
      <c r="E876" s="89"/>
      <c r="F876" s="151"/>
      <c r="G876" s="151"/>
      <c r="H876" s="151"/>
      <c r="I876" s="151"/>
      <c r="J876" s="152"/>
      <c r="K876" s="152"/>
      <c r="L876" s="152"/>
      <c r="M876" s="152"/>
      <c r="N876" s="150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</row>
    <row r="877" customFormat="false" ht="11.25" hidden="false" customHeight="true" outlineLevel="0" collapsed="false">
      <c r="A877" s="89"/>
      <c r="B877" s="89"/>
      <c r="C877" s="89"/>
      <c r="D877" s="150"/>
      <c r="E877" s="89"/>
      <c r="F877" s="151"/>
      <c r="G877" s="151"/>
      <c r="H877" s="151"/>
      <c r="I877" s="151"/>
      <c r="J877" s="152"/>
      <c r="K877" s="152"/>
      <c r="L877" s="152"/>
      <c r="M877" s="152"/>
      <c r="N877" s="150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</row>
    <row r="878" customFormat="false" ht="11.25" hidden="false" customHeight="true" outlineLevel="0" collapsed="false">
      <c r="A878" s="89"/>
      <c r="B878" s="89"/>
      <c r="C878" s="89"/>
      <c r="D878" s="150"/>
      <c r="E878" s="89"/>
      <c r="F878" s="151"/>
      <c r="G878" s="151"/>
      <c r="H878" s="151"/>
      <c r="I878" s="151"/>
      <c r="J878" s="152"/>
      <c r="K878" s="152"/>
      <c r="L878" s="152"/>
      <c r="M878" s="152"/>
      <c r="N878" s="150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</row>
    <row r="879" customFormat="false" ht="11.25" hidden="false" customHeight="true" outlineLevel="0" collapsed="false">
      <c r="A879" s="89"/>
      <c r="B879" s="89"/>
      <c r="C879" s="89"/>
      <c r="D879" s="150"/>
      <c r="E879" s="89"/>
      <c r="F879" s="151"/>
      <c r="G879" s="151"/>
      <c r="H879" s="151"/>
      <c r="I879" s="151"/>
      <c r="J879" s="152"/>
      <c r="K879" s="152"/>
      <c r="L879" s="152"/>
      <c r="M879" s="152"/>
      <c r="N879" s="150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</row>
    <row r="880" customFormat="false" ht="11.25" hidden="false" customHeight="true" outlineLevel="0" collapsed="false">
      <c r="A880" s="89"/>
      <c r="B880" s="89"/>
      <c r="C880" s="89"/>
      <c r="D880" s="150"/>
      <c r="E880" s="89"/>
      <c r="F880" s="151"/>
      <c r="G880" s="151"/>
      <c r="H880" s="151"/>
      <c r="I880" s="151"/>
      <c r="J880" s="152"/>
      <c r="K880" s="152"/>
      <c r="L880" s="152"/>
      <c r="M880" s="152"/>
      <c r="N880" s="150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</row>
    <row r="881" customFormat="false" ht="11.25" hidden="false" customHeight="true" outlineLevel="0" collapsed="false">
      <c r="A881" s="89"/>
      <c r="B881" s="89"/>
      <c r="C881" s="89"/>
      <c r="D881" s="150"/>
      <c r="E881" s="89"/>
      <c r="F881" s="151"/>
      <c r="G881" s="151"/>
      <c r="H881" s="151"/>
      <c r="I881" s="151"/>
      <c r="J881" s="152"/>
      <c r="K881" s="152"/>
      <c r="L881" s="152"/>
      <c r="M881" s="152"/>
      <c r="N881" s="150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</row>
    <row r="882" customFormat="false" ht="11.25" hidden="false" customHeight="true" outlineLevel="0" collapsed="false">
      <c r="A882" s="89"/>
      <c r="B882" s="89"/>
      <c r="C882" s="89"/>
      <c r="D882" s="150"/>
      <c r="E882" s="89"/>
      <c r="F882" s="151"/>
      <c r="G882" s="151"/>
      <c r="H882" s="151"/>
      <c r="I882" s="151"/>
      <c r="J882" s="152"/>
      <c r="K882" s="152"/>
      <c r="L882" s="152"/>
      <c r="M882" s="152"/>
      <c r="N882" s="150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</row>
    <row r="883" customFormat="false" ht="11.25" hidden="false" customHeight="true" outlineLevel="0" collapsed="false">
      <c r="A883" s="89"/>
      <c r="B883" s="89"/>
      <c r="C883" s="89"/>
      <c r="D883" s="150"/>
      <c r="E883" s="89"/>
      <c r="F883" s="151"/>
      <c r="G883" s="151"/>
      <c r="H883" s="151"/>
      <c r="I883" s="151"/>
      <c r="J883" s="152"/>
      <c r="K883" s="152"/>
      <c r="L883" s="152"/>
      <c r="M883" s="152"/>
      <c r="N883" s="150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</row>
    <row r="884" customFormat="false" ht="11.25" hidden="false" customHeight="true" outlineLevel="0" collapsed="false">
      <c r="A884" s="89"/>
      <c r="B884" s="89"/>
      <c r="C884" s="89"/>
      <c r="D884" s="150"/>
      <c r="E884" s="89"/>
      <c r="F884" s="151"/>
      <c r="G884" s="151"/>
      <c r="H884" s="151"/>
      <c r="I884" s="151"/>
      <c r="J884" s="152"/>
      <c r="K884" s="152"/>
      <c r="L884" s="152"/>
      <c r="M884" s="152"/>
      <c r="N884" s="150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</row>
    <row r="885" customFormat="false" ht="11.25" hidden="false" customHeight="true" outlineLevel="0" collapsed="false">
      <c r="A885" s="89"/>
      <c r="B885" s="89"/>
      <c r="C885" s="89"/>
      <c r="D885" s="150"/>
      <c r="E885" s="89"/>
      <c r="F885" s="151"/>
      <c r="G885" s="151"/>
      <c r="H885" s="151"/>
      <c r="I885" s="151"/>
      <c r="J885" s="152"/>
      <c r="K885" s="152"/>
      <c r="L885" s="152"/>
      <c r="M885" s="152"/>
      <c r="N885" s="150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</row>
    <row r="886" customFormat="false" ht="11.25" hidden="false" customHeight="true" outlineLevel="0" collapsed="false">
      <c r="A886" s="89"/>
      <c r="B886" s="89"/>
      <c r="C886" s="89"/>
      <c r="D886" s="150"/>
      <c r="E886" s="89"/>
      <c r="F886" s="151"/>
      <c r="G886" s="151"/>
      <c r="H886" s="151"/>
      <c r="I886" s="151"/>
      <c r="J886" s="152"/>
      <c r="K886" s="152"/>
      <c r="L886" s="152"/>
      <c r="M886" s="152"/>
      <c r="N886" s="150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</row>
    <row r="887" customFormat="false" ht="11.25" hidden="false" customHeight="true" outlineLevel="0" collapsed="false">
      <c r="A887" s="89"/>
      <c r="B887" s="89"/>
      <c r="C887" s="89"/>
      <c r="D887" s="150"/>
      <c r="E887" s="89"/>
      <c r="F887" s="151"/>
      <c r="G887" s="151"/>
      <c r="H887" s="151"/>
      <c r="I887" s="151"/>
      <c r="J887" s="152"/>
      <c r="K887" s="152"/>
      <c r="L887" s="152"/>
      <c r="M887" s="152"/>
      <c r="N887" s="150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</row>
    <row r="888" customFormat="false" ht="11.25" hidden="false" customHeight="true" outlineLevel="0" collapsed="false">
      <c r="A888" s="89"/>
      <c r="B888" s="89"/>
      <c r="C888" s="89"/>
      <c r="D888" s="150"/>
      <c r="E888" s="89"/>
      <c r="F888" s="151"/>
      <c r="G888" s="151"/>
      <c r="H888" s="151"/>
      <c r="I888" s="151"/>
      <c r="J888" s="152"/>
      <c r="K888" s="152"/>
      <c r="L888" s="152"/>
      <c r="M888" s="152"/>
      <c r="N888" s="150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</row>
    <row r="889" customFormat="false" ht="11.25" hidden="false" customHeight="true" outlineLevel="0" collapsed="false">
      <c r="A889" s="89"/>
      <c r="B889" s="89"/>
      <c r="C889" s="89"/>
      <c r="D889" s="150"/>
      <c r="E889" s="89"/>
      <c r="F889" s="151"/>
      <c r="G889" s="151"/>
      <c r="H889" s="151"/>
      <c r="I889" s="151"/>
      <c r="J889" s="152"/>
      <c r="K889" s="152"/>
      <c r="L889" s="152"/>
      <c r="M889" s="152"/>
      <c r="N889" s="150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</row>
    <row r="890" customFormat="false" ht="11.25" hidden="false" customHeight="true" outlineLevel="0" collapsed="false">
      <c r="A890" s="89"/>
      <c r="B890" s="89"/>
      <c r="C890" s="89"/>
      <c r="D890" s="150"/>
      <c r="E890" s="89"/>
      <c r="F890" s="151"/>
      <c r="G890" s="151"/>
      <c r="H890" s="151"/>
      <c r="I890" s="151"/>
      <c r="J890" s="152"/>
      <c r="K890" s="152"/>
      <c r="L890" s="152"/>
      <c r="M890" s="152"/>
      <c r="N890" s="150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</row>
    <row r="891" customFormat="false" ht="11.25" hidden="false" customHeight="true" outlineLevel="0" collapsed="false">
      <c r="A891" s="89"/>
      <c r="B891" s="89"/>
      <c r="C891" s="89"/>
      <c r="D891" s="150"/>
      <c r="E891" s="89"/>
      <c r="F891" s="151"/>
      <c r="G891" s="151"/>
      <c r="H891" s="151"/>
      <c r="I891" s="151"/>
      <c r="J891" s="152"/>
      <c r="K891" s="152"/>
      <c r="L891" s="152"/>
      <c r="M891" s="152"/>
      <c r="N891" s="150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</row>
    <row r="892" customFormat="false" ht="11.25" hidden="false" customHeight="true" outlineLevel="0" collapsed="false">
      <c r="A892" s="89"/>
      <c r="B892" s="89"/>
      <c r="C892" s="89"/>
      <c r="D892" s="150"/>
      <c r="E892" s="89"/>
      <c r="F892" s="151"/>
      <c r="G892" s="151"/>
      <c r="H892" s="151"/>
      <c r="I892" s="151"/>
      <c r="J892" s="152"/>
      <c r="K892" s="152"/>
      <c r="L892" s="152"/>
      <c r="M892" s="152"/>
      <c r="N892" s="150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</row>
    <row r="893" customFormat="false" ht="11.25" hidden="false" customHeight="true" outlineLevel="0" collapsed="false">
      <c r="A893" s="89"/>
      <c r="B893" s="89"/>
      <c r="C893" s="89"/>
      <c r="D893" s="150"/>
      <c r="E893" s="89"/>
      <c r="F893" s="151"/>
      <c r="G893" s="151"/>
      <c r="H893" s="151"/>
      <c r="I893" s="151"/>
      <c r="J893" s="152"/>
      <c r="K893" s="152"/>
      <c r="L893" s="152"/>
      <c r="M893" s="152"/>
      <c r="N893" s="150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</row>
    <row r="894" customFormat="false" ht="11.25" hidden="false" customHeight="true" outlineLevel="0" collapsed="false">
      <c r="A894" s="89"/>
      <c r="B894" s="89"/>
      <c r="C894" s="89"/>
      <c r="D894" s="150"/>
      <c r="E894" s="89"/>
      <c r="F894" s="151"/>
      <c r="G894" s="151"/>
      <c r="H894" s="151"/>
      <c r="I894" s="151"/>
      <c r="J894" s="152"/>
      <c r="K894" s="152"/>
      <c r="L894" s="152"/>
      <c r="M894" s="152"/>
      <c r="N894" s="150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</row>
    <row r="895" customFormat="false" ht="11.25" hidden="false" customHeight="true" outlineLevel="0" collapsed="false">
      <c r="A895" s="89"/>
      <c r="B895" s="89"/>
      <c r="C895" s="89"/>
      <c r="D895" s="150"/>
      <c r="E895" s="89"/>
      <c r="F895" s="151"/>
      <c r="G895" s="151"/>
      <c r="H895" s="151"/>
      <c r="I895" s="151"/>
      <c r="J895" s="152"/>
      <c r="K895" s="152"/>
      <c r="L895" s="152"/>
      <c r="M895" s="152"/>
      <c r="N895" s="150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</row>
    <row r="896" customFormat="false" ht="11.25" hidden="false" customHeight="true" outlineLevel="0" collapsed="false">
      <c r="A896" s="89"/>
      <c r="B896" s="89"/>
      <c r="C896" s="89"/>
      <c r="D896" s="150"/>
      <c r="E896" s="89"/>
      <c r="F896" s="151"/>
      <c r="G896" s="151"/>
      <c r="H896" s="151"/>
      <c r="I896" s="151"/>
      <c r="J896" s="152"/>
      <c r="K896" s="152"/>
      <c r="L896" s="152"/>
      <c r="M896" s="152"/>
      <c r="N896" s="150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</row>
    <row r="897" customFormat="false" ht="11.25" hidden="false" customHeight="true" outlineLevel="0" collapsed="false">
      <c r="A897" s="89"/>
      <c r="B897" s="89"/>
      <c r="C897" s="89"/>
      <c r="D897" s="150"/>
      <c r="E897" s="89"/>
      <c r="F897" s="151"/>
      <c r="G897" s="151"/>
      <c r="H897" s="151"/>
      <c r="I897" s="151"/>
      <c r="J897" s="152"/>
      <c r="K897" s="152"/>
      <c r="L897" s="152"/>
      <c r="M897" s="152"/>
      <c r="N897" s="150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</row>
    <row r="898" customFormat="false" ht="11.25" hidden="false" customHeight="true" outlineLevel="0" collapsed="false">
      <c r="A898" s="89"/>
      <c r="B898" s="89"/>
      <c r="C898" s="89"/>
      <c r="D898" s="150"/>
      <c r="E898" s="89"/>
      <c r="F898" s="151"/>
      <c r="G898" s="151"/>
      <c r="H898" s="151"/>
      <c r="I898" s="151"/>
      <c r="J898" s="152"/>
      <c r="K898" s="152"/>
      <c r="L898" s="152"/>
      <c r="M898" s="152"/>
      <c r="N898" s="150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</row>
    <row r="899" customFormat="false" ht="11.25" hidden="false" customHeight="true" outlineLevel="0" collapsed="false">
      <c r="A899" s="89"/>
      <c r="B899" s="89"/>
      <c r="C899" s="89"/>
      <c r="D899" s="150"/>
      <c r="E899" s="89"/>
      <c r="F899" s="151"/>
      <c r="G899" s="151"/>
      <c r="H899" s="151"/>
      <c r="I899" s="151"/>
      <c r="J899" s="152"/>
      <c r="K899" s="152"/>
      <c r="L899" s="152"/>
      <c r="M899" s="152"/>
      <c r="N899" s="150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</row>
    <row r="900" customFormat="false" ht="11.25" hidden="false" customHeight="true" outlineLevel="0" collapsed="false">
      <c r="A900" s="89"/>
      <c r="B900" s="89"/>
      <c r="C900" s="89"/>
      <c r="D900" s="150"/>
      <c r="E900" s="89"/>
      <c r="F900" s="151"/>
      <c r="G900" s="151"/>
      <c r="H900" s="151"/>
      <c r="I900" s="151"/>
      <c r="J900" s="152"/>
      <c r="K900" s="152"/>
      <c r="L900" s="152"/>
      <c r="M900" s="152"/>
      <c r="N900" s="150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</row>
    <row r="901" customFormat="false" ht="11.25" hidden="false" customHeight="true" outlineLevel="0" collapsed="false">
      <c r="A901" s="89"/>
      <c r="B901" s="89"/>
      <c r="C901" s="89"/>
      <c r="D901" s="150"/>
      <c r="E901" s="89"/>
      <c r="F901" s="151"/>
      <c r="G901" s="151"/>
      <c r="H901" s="151"/>
      <c r="I901" s="151"/>
      <c r="J901" s="152"/>
      <c r="K901" s="152"/>
      <c r="L901" s="152"/>
      <c r="M901" s="152"/>
      <c r="N901" s="150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</row>
    <row r="902" customFormat="false" ht="11.25" hidden="false" customHeight="true" outlineLevel="0" collapsed="false">
      <c r="A902" s="89"/>
      <c r="B902" s="89"/>
      <c r="C902" s="89"/>
      <c r="D902" s="150"/>
      <c r="E902" s="89"/>
      <c r="F902" s="151"/>
      <c r="G902" s="151"/>
      <c r="H902" s="151"/>
      <c r="I902" s="151"/>
      <c r="J902" s="152"/>
      <c r="K902" s="152"/>
      <c r="L902" s="152"/>
      <c r="M902" s="152"/>
      <c r="N902" s="150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</row>
    <row r="903" customFormat="false" ht="11.25" hidden="false" customHeight="true" outlineLevel="0" collapsed="false">
      <c r="A903" s="89"/>
      <c r="B903" s="89"/>
      <c r="C903" s="89"/>
      <c r="D903" s="150"/>
      <c r="E903" s="89"/>
      <c r="F903" s="151"/>
      <c r="G903" s="151"/>
      <c r="H903" s="151"/>
      <c r="I903" s="151"/>
      <c r="J903" s="152"/>
      <c r="K903" s="152"/>
      <c r="L903" s="152"/>
      <c r="M903" s="152"/>
      <c r="N903" s="150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</row>
    <row r="904" customFormat="false" ht="11.25" hidden="false" customHeight="true" outlineLevel="0" collapsed="false">
      <c r="A904" s="89"/>
      <c r="B904" s="89"/>
      <c r="C904" s="89"/>
      <c r="D904" s="150"/>
      <c r="E904" s="89"/>
      <c r="F904" s="151"/>
      <c r="G904" s="151"/>
      <c r="H904" s="151"/>
      <c r="I904" s="151"/>
      <c r="J904" s="152"/>
      <c r="K904" s="152"/>
      <c r="L904" s="152"/>
      <c r="M904" s="152"/>
      <c r="N904" s="150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</row>
    <row r="905" customFormat="false" ht="11.25" hidden="false" customHeight="true" outlineLevel="0" collapsed="false">
      <c r="A905" s="89"/>
      <c r="B905" s="89"/>
      <c r="C905" s="89"/>
      <c r="D905" s="150"/>
      <c r="E905" s="89"/>
      <c r="F905" s="151"/>
      <c r="G905" s="151"/>
      <c r="H905" s="151"/>
      <c r="I905" s="151"/>
      <c r="J905" s="152"/>
      <c r="K905" s="152"/>
      <c r="L905" s="152"/>
      <c r="M905" s="152"/>
      <c r="N905" s="150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</row>
    <row r="906" customFormat="false" ht="11.25" hidden="false" customHeight="true" outlineLevel="0" collapsed="false">
      <c r="A906" s="89"/>
      <c r="B906" s="89"/>
      <c r="C906" s="89"/>
      <c r="D906" s="150"/>
      <c r="E906" s="89"/>
      <c r="F906" s="151"/>
      <c r="G906" s="151"/>
      <c r="H906" s="151"/>
      <c r="I906" s="151"/>
      <c r="J906" s="152"/>
      <c r="K906" s="152"/>
      <c r="L906" s="152"/>
      <c r="M906" s="152"/>
      <c r="N906" s="150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</row>
    <row r="907" customFormat="false" ht="11.25" hidden="false" customHeight="true" outlineLevel="0" collapsed="false">
      <c r="A907" s="89"/>
      <c r="B907" s="89"/>
      <c r="C907" s="89"/>
      <c r="D907" s="150"/>
      <c r="E907" s="89"/>
      <c r="F907" s="151"/>
      <c r="G907" s="151"/>
      <c r="H907" s="151"/>
      <c r="I907" s="151"/>
      <c r="J907" s="152"/>
      <c r="K907" s="152"/>
      <c r="L907" s="152"/>
      <c r="M907" s="152"/>
      <c r="N907" s="150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</row>
    <row r="908" customFormat="false" ht="11.25" hidden="false" customHeight="true" outlineLevel="0" collapsed="false">
      <c r="A908" s="89"/>
      <c r="B908" s="89"/>
      <c r="C908" s="89"/>
      <c r="D908" s="150"/>
      <c r="E908" s="89"/>
      <c r="F908" s="151"/>
      <c r="G908" s="151"/>
      <c r="H908" s="151"/>
      <c r="I908" s="151"/>
      <c r="J908" s="152"/>
      <c r="K908" s="152"/>
      <c r="L908" s="152"/>
      <c r="M908" s="152"/>
      <c r="N908" s="150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</row>
    <row r="909" customFormat="false" ht="11.25" hidden="false" customHeight="true" outlineLevel="0" collapsed="false">
      <c r="A909" s="89"/>
      <c r="B909" s="89"/>
      <c r="C909" s="89"/>
      <c r="D909" s="150"/>
      <c r="E909" s="89"/>
      <c r="F909" s="151"/>
      <c r="G909" s="151"/>
      <c r="H909" s="151"/>
      <c r="I909" s="151"/>
      <c r="J909" s="152"/>
      <c r="K909" s="152"/>
      <c r="L909" s="152"/>
      <c r="M909" s="152"/>
      <c r="N909" s="150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</row>
    <row r="910" customFormat="false" ht="11.25" hidden="false" customHeight="true" outlineLevel="0" collapsed="false">
      <c r="A910" s="89"/>
      <c r="B910" s="89"/>
      <c r="C910" s="89"/>
      <c r="D910" s="150"/>
      <c r="E910" s="89"/>
      <c r="F910" s="151"/>
      <c r="G910" s="151"/>
      <c r="H910" s="151"/>
      <c r="I910" s="151"/>
      <c r="J910" s="152"/>
      <c r="K910" s="152"/>
      <c r="L910" s="152"/>
      <c r="M910" s="152"/>
      <c r="N910" s="150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</row>
    <row r="911" customFormat="false" ht="11.25" hidden="false" customHeight="true" outlineLevel="0" collapsed="false">
      <c r="A911" s="89"/>
      <c r="B911" s="89"/>
      <c r="C911" s="89"/>
      <c r="D911" s="150"/>
      <c r="E911" s="89"/>
      <c r="F911" s="151"/>
      <c r="G911" s="151"/>
      <c r="H911" s="151"/>
      <c r="I911" s="151"/>
      <c r="J911" s="152"/>
      <c r="K911" s="152"/>
      <c r="L911" s="152"/>
      <c r="M911" s="152"/>
      <c r="N911" s="150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</row>
    <row r="912" customFormat="false" ht="11.25" hidden="false" customHeight="true" outlineLevel="0" collapsed="false">
      <c r="A912" s="89"/>
      <c r="B912" s="89"/>
      <c r="C912" s="89"/>
      <c r="D912" s="150"/>
      <c r="E912" s="89"/>
      <c r="F912" s="151"/>
      <c r="G912" s="151"/>
      <c r="H912" s="151"/>
      <c r="I912" s="151"/>
      <c r="J912" s="152"/>
      <c r="K912" s="152"/>
      <c r="L912" s="152"/>
      <c r="M912" s="152"/>
      <c r="N912" s="150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</row>
    <row r="913" customFormat="false" ht="11.25" hidden="false" customHeight="true" outlineLevel="0" collapsed="false">
      <c r="A913" s="89"/>
      <c r="B913" s="89"/>
      <c r="C913" s="89"/>
      <c r="D913" s="150"/>
      <c r="E913" s="89"/>
      <c r="F913" s="151"/>
      <c r="G913" s="151"/>
      <c r="H913" s="151"/>
      <c r="I913" s="151"/>
      <c r="J913" s="152"/>
      <c r="K913" s="152"/>
      <c r="L913" s="152"/>
      <c r="M913" s="152"/>
      <c r="N913" s="150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</row>
    <row r="914" customFormat="false" ht="11.25" hidden="false" customHeight="true" outlineLevel="0" collapsed="false">
      <c r="A914" s="89"/>
      <c r="B914" s="89"/>
      <c r="C914" s="89"/>
      <c r="D914" s="150"/>
      <c r="E914" s="89"/>
      <c r="F914" s="151"/>
      <c r="G914" s="151"/>
      <c r="H914" s="151"/>
      <c r="I914" s="151"/>
      <c r="J914" s="152"/>
      <c r="K914" s="152"/>
      <c r="L914" s="152"/>
      <c r="M914" s="152"/>
      <c r="N914" s="150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</row>
    <row r="915" customFormat="false" ht="11.25" hidden="false" customHeight="true" outlineLevel="0" collapsed="false">
      <c r="A915" s="89"/>
      <c r="B915" s="89"/>
      <c r="C915" s="89"/>
      <c r="D915" s="150"/>
      <c r="E915" s="89"/>
      <c r="F915" s="151"/>
      <c r="G915" s="151"/>
      <c r="H915" s="151"/>
      <c r="I915" s="151"/>
      <c r="J915" s="152"/>
      <c r="K915" s="152"/>
      <c r="L915" s="152"/>
      <c r="M915" s="152"/>
      <c r="N915" s="150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</row>
    <row r="916" customFormat="false" ht="11.25" hidden="false" customHeight="true" outlineLevel="0" collapsed="false">
      <c r="A916" s="89"/>
      <c r="B916" s="89"/>
      <c r="C916" s="89"/>
      <c r="D916" s="150"/>
      <c r="E916" s="89"/>
      <c r="F916" s="151"/>
      <c r="G916" s="151"/>
      <c r="H916" s="151"/>
      <c r="I916" s="151"/>
      <c r="J916" s="152"/>
      <c r="K916" s="152"/>
      <c r="L916" s="152"/>
      <c r="M916" s="152"/>
      <c r="N916" s="150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</row>
    <row r="917" customFormat="false" ht="11.25" hidden="false" customHeight="true" outlineLevel="0" collapsed="false">
      <c r="A917" s="89"/>
      <c r="B917" s="89"/>
      <c r="C917" s="89"/>
      <c r="D917" s="150"/>
      <c r="E917" s="89"/>
      <c r="F917" s="151"/>
      <c r="G917" s="151"/>
      <c r="H917" s="151"/>
      <c r="I917" s="151"/>
      <c r="J917" s="152"/>
      <c r="K917" s="152"/>
      <c r="L917" s="152"/>
      <c r="M917" s="152"/>
      <c r="N917" s="150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</row>
    <row r="918" customFormat="false" ht="11.25" hidden="false" customHeight="true" outlineLevel="0" collapsed="false">
      <c r="A918" s="89"/>
      <c r="B918" s="89"/>
      <c r="C918" s="89"/>
      <c r="D918" s="150"/>
      <c r="E918" s="89"/>
      <c r="F918" s="151"/>
      <c r="G918" s="151"/>
      <c r="H918" s="151"/>
      <c r="I918" s="151"/>
      <c r="J918" s="152"/>
      <c r="K918" s="152"/>
      <c r="L918" s="152"/>
      <c r="M918" s="152"/>
      <c r="N918" s="150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</row>
    <row r="919" customFormat="false" ht="11.25" hidden="false" customHeight="true" outlineLevel="0" collapsed="false">
      <c r="A919" s="89"/>
      <c r="B919" s="89"/>
      <c r="C919" s="89"/>
      <c r="D919" s="150"/>
      <c r="E919" s="89"/>
      <c r="F919" s="151"/>
      <c r="G919" s="151"/>
      <c r="H919" s="151"/>
      <c r="I919" s="151"/>
      <c r="J919" s="152"/>
      <c r="K919" s="152"/>
      <c r="L919" s="152"/>
      <c r="M919" s="152"/>
      <c r="N919" s="150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</row>
    <row r="920" customFormat="false" ht="11.25" hidden="false" customHeight="true" outlineLevel="0" collapsed="false">
      <c r="A920" s="89"/>
      <c r="B920" s="89"/>
      <c r="C920" s="89"/>
      <c r="D920" s="150"/>
      <c r="E920" s="89"/>
      <c r="F920" s="151"/>
      <c r="G920" s="151"/>
      <c r="H920" s="151"/>
      <c r="I920" s="151"/>
      <c r="J920" s="152"/>
      <c r="K920" s="152"/>
      <c r="L920" s="152"/>
      <c r="M920" s="152"/>
      <c r="N920" s="150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</row>
    <row r="921" customFormat="false" ht="11.25" hidden="false" customHeight="true" outlineLevel="0" collapsed="false">
      <c r="A921" s="89"/>
      <c r="B921" s="89"/>
      <c r="C921" s="89"/>
      <c r="D921" s="150"/>
      <c r="E921" s="89"/>
      <c r="F921" s="151"/>
      <c r="G921" s="151"/>
      <c r="H921" s="151"/>
      <c r="I921" s="151"/>
      <c r="J921" s="152"/>
      <c r="K921" s="152"/>
      <c r="L921" s="152"/>
      <c r="M921" s="152"/>
      <c r="N921" s="150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</row>
    <row r="922" customFormat="false" ht="11.25" hidden="false" customHeight="true" outlineLevel="0" collapsed="false">
      <c r="A922" s="89"/>
      <c r="B922" s="89"/>
      <c r="C922" s="89"/>
      <c r="D922" s="150"/>
      <c r="E922" s="89"/>
      <c r="F922" s="151"/>
      <c r="G922" s="151"/>
      <c r="H922" s="151"/>
      <c r="I922" s="151"/>
      <c r="J922" s="152"/>
      <c r="K922" s="152"/>
      <c r="L922" s="152"/>
      <c r="M922" s="152"/>
      <c r="N922" s="150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</row>
    <row r="923" customFormat="false" ht="11.25" hidden="false" customHeight="true" outlineLevel="0" collapsed="false">
      <c r="A923" s="89"/>
      <c r="B923" s="89"/>
      <c r="C923" s="89"/>
      <c r="D923" s="150"/>
      <c r="E923" s="89"/>
      <c r="F923" s="151"/>
      <c r="G923" s="151"/>
      <c r="H923" s="151"/>
      <c r="I923" s="151"/>
      <c r="J923" s="152"/>
      <c r="K923" s="152"/>
      <c r="L923" s="152"/>
      <c r="M923" s="152"/>
      <c r="N923" s="150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</row>
    <row r="924" customFormat="false" ht="11.25" hidden="false" customHeight="true" outlineLevel="0" collapsed="false">
      <c r="A924" s="89"/>
      <c r="B924" s="89"/>
      <c r="C924" s="89"/>
      <c r="D924" s="150"/>
      <c r="E924" s="89"/>
      <c r="F924" s="151"/>
      <c r="G924" s="151"/>
      <c r="H924" s="151"/>
      <c r="I924" s="151"/>
      <c r="J924" s="152"/>
      <c r="K924" s="152"/>
      <c r="L924" s="152"/>
      <c r="M924" s="152"/>
      <c r="N924" s="150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</row>
    <row r="925" customFormat="false" ht="11.25" hidden="false" customHeight="true" outlineLevel="0" collapsed="false">
      <c r="A925" s="89"/>
      <c r="B925" s="89"/>
      <c r="C925" s="89"/>
      <c r="D925" s="150"/>
      <c r="E925" s="89"/>
      <c r="F925" s="151"/>
      <c r="G925" s="151"/>
      <c r="H925" s="151"/>
      <c r="I925" s="151"/>
      <c r="J925" s="152"/>
      <c r="K925" s="152"/>
      <c r="L925" s="152"/>
      <c r="M925" s="152"/>
      <c r="N925" s="150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</row>
    <row r="926" customFormat="false" ht="11.25" hidden="false" customHeight="true" outlineLevel="0" collapsed="false">
      <c r="A926" s="89"/>
      <c r="B926" s="89"/>
      <c r="C926" s="89"/>
      <c r="D926" s="150"/>
      <c r="E926" s="89"/>
      <c r="F926" s="151"/>
      <c r="G926" s="151"/>
      <c r="H926" s="151"/>
      <c r="I926" s="151"/>
      <c r="J926" s="152"/>
      <c r="K926" s="152"/>
      <c r="L926" s="152"/>
      <c r="M926" s="152"/>
      <c r="N926" s="150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</row>
    <row r="927" customFormat="false" ht="11.25" hidden="false" customHeight="true" outlineLevel="0" collapsed="false">
      <c r="A927" s="89"/>
      <c r="B927" s="89"/>
      <c r="C927" s="89"/>
      <c r="D927" s="150"/>
      <c r="E927" s="89"/>
      <c r="F927" s="151"/>
      <c r="G927" s="151"/>
      <c r="H927" s="151"/>
      <c r="I927" s="151"/>
      <c r="J927" s="152"/>
      <c r="K927" s="152"/>
      <c r="L927" s="152"/>
      <c r="M927" s="152"/>
      <c r="N927" s="150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</row>
    <row r="928" customFormat="false" ht="11.25" hidden="false" customHeight="true" outlineLevel="0" collapsed="false">
      <c r="A928" s="89"/>
      <c r="B928" s="89"/>
      <c r="C928" s="89"/>
      <c r="D928" s="150"/>
      <c r="E928" s="89"/>
      <c r="F928" s="151"/>
      <c r="G928" s="151"/>
      <c r="H928" s="151"/>
      <c r="I928" s="151"/>
      <c r="J928" s="152"/>
      <c r="K928" s="152"/>
      <c r="L928" s="152"/>
      <c r="M928" s="152"/>
      <c r="N928" s="150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</row>
    <row r="929" customFormat="false" ht="11.25" hidden="false" customHeight="true" outlineLevel="0" collapsed="false">
      <c r="A929" s="89"/>
      <c r="B929" s="89"/>
      <c r="C929" s="89"/>
      <c r="D929" s="150"/>
      <c r="E929" s="89"/>
      <c r="F929" s="151"/>
      <c r="G929" s="151"/>
      <c r="H929" s="151"/>
      <c r="I929" s="151"/>
      <c r="J929" s="152"/>
      <c r="K929" s="152"/>
      <c r="L929" s="152"/>
      <c r="M929" s="152"/>
      <c r="N929" s="150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</row>
    <row r="930" customFormat="false" ht="11.25" hidden="false" customHeight="true" outlineLevel="0" collapsed="false">
      <c r="A930" s="89"/>
      <c r="B930" s="89"/>
      <c r="C930" s="89"/>
      <c r="D930" s="150"/>
      <c r="E930" s="89"/>
      <c r="F930" s="151"/>
      <c r="G930" s="151"/>
      <c r="H930" s="151"/>
      <c r="I930" s="151"/>
      <c r="J930" s="152"/>
      <c r="K930" s="152"/>
      <c r="L930" s="152"/>
      <c r="M930" s="152"/>
      <c r="N930" s="150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</row>
    <row r="931" customFormat="false" ht="11.25" hidden="false" customHeight="true" outlineLevel="0" collapsed="false">
      <c r="A931" s="89"/>
      <c r="B931" s="89"/>
      <c r="C931" s="89"/>
      <c r="D931" s="150"/>
      <c r="E931" s="89"/>
      <c r="F931" s="151"/>
      <c r="G931" s="151"/>
      <c r="H931" s="151"/>
      <c r="I931" s="151"/>
      <c r="J931" s="152"/>
      <c r="K931" s="152"/>
      <c r="L931" s="152"/>
      <c r="M931" s="152"/>
      <c r="N931" s="150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</row>
    <row r="932" customFormat="false" ht="11.25" hidden="false" customHeight="true" outlineLevel="0" collapsed="false">
      <c r="A932" s="89"/>
      <c r="B932" s="89"/>
      <c r="C932" s="89"/>
      <c r="D932" s="150"/>
      <c r="E932" s="89"/>
      <c r="F932" s="151"/>
      <c r="G932" s="151"/>
      <c r="H932" s="151"/>
      <c r="I932" s="151"/>
      <c r="J932" s="152"/>
      <c r="K932" s="152"/>
      <c r="L932" s="152"/>
      <c r="M932" s="152"/>
      <c r="N932" s="150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</row>
    <row r="933" customFormat="false" ht="11.25" hidden="false" customHeight="true" outlineLevel="0" collapsed="false">
      <c r="A933" s="89"/>
      <c r="B933" s="89"/>
      <c r="C933" s="89"/>
      <c r="D933" s="150"/>
      <c r="E933" s="89"/>
      <c r="F933" s="151"/>
      <c r="G933" s="151"/>
      <c r="H933" s="151"/>
      <c r="I933" s="151"/>
      <c r="J933" s="152"/>
      <c r="K933" s="152"/>
      <c r="L933" s="152"/>
      <c r="M933" s="152"/>
      <c r="N933" s="150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</row>
    <row r="934" customFormat="false" ht="11.25" hidden="false" customHeight="true" outlineLevel="0" collapsed="false">
      <c r="A934" s="89"/>
      <c r="B934" s="89"/>
      <c r="C934" s="89"/>
      <c r="D934" s="150"/>
      <c r="E934" s="89"/>
      <c r="F934" s="151"/>
      <c r="G934" s="151"/>
      <c r="H934" s="151"/>
      <c r="I934" s="151"/>
      <c r="J934" s="152"/>
      <c r="K934" s="152"/>
      <c r="L934" s="152"/>
      <c r="M934" s="152"/>
      <c r="N934" s="150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</row>
    <row r="935" customFormat="false" ht="11.25" hidden="false" customHeight="true" outlineLevel="0" collapsed="false">
      <c r="A935" s="89"/>
      <c r="B935" s="89"/>
      <c r="C935" s="89"/>
      <c r="D935" s="150"/>
      <c r="E935" s="89"/>
      <c r="F935" s="151"/>
      <c r="G935" s="151"/>
      <c r="H935" s="151"/>
      <c r="I935" s="151"/>
      <c r="J935" s="152"/>
      <c r="K935" s="152"/>
      <c r="L935" s="152"/>
      <c r="M935" s="152"/>
      <c r="N935" s="150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</row>
    <row r="936" customFormat="false" ht="11.25" hidden="false" customHeight="true" outlineLevel="0" collapsed="false">
      <c r="A936" s="89"/>
      <c r="B936" s="89"/>
      <c r="C936" s="89"/>
      <c r="D936" s="150"/>
      <c r="E936" s="89"/>
      <c r="F936" s="151"/>
      <c r="G936" s="151"/>
      <c r="H936" s="151"/>
      <c r="I936" s="151"/>
      <c r="J936" s="152"/>
      <c r="K936" s="152"/>
      <c r="L936" s="152"/>
      <c r="M936" s="152"/>
      <c r="N936" s="150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</row>
    <row r="937" customFormat="false" ht="11.25" hidden="false" customHeight="true" outlineLevel="0" collapsed="false">
      <c r="A937" s="89"/>
      <c r="B937" s="89"/>
      <c r="C937" s="89"/>
      <c r="D937" s="150"/>
      <c r="E937" s="89"/>
      <c r="F937" s="151"/>
      <c r="G937" s="151"/>
      <c r="H937" s="151"/>
      <c r="I937" s="151"/>
      <c r="J937" s="152"/>
      <c r="K937" s="152"/>
      <c r="L937" s="152"/>
      <c r="M937" s="152"/>
      <c r="N937" s="150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</row>
    <row r="938" customFormat="false" ht="11.25" hidden="false" customHeight="true" outlineLevel="0" collapsed="false">
      <c r="A938" s="89"/>
      <c r="B938" s="89"/>
      <c r="C938" s="89"/>
      <c r="D938" s="150"/>
      <c r="E938" s="89"/>
      <c r="F938" s="151"/>
      <c r="G938" s="151"/>
      <c r="H938" s="151"/>
      <c r="I938" s="151"/>
      <c r="J938" s="152"/>
      <c r="K938" s="152"/>
      <c r="L938" s="152"/>
      <c r="M938" s="152"/>
      <c r="N938" s="150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</row>
    <row r="939" customFormat="false" ht="11.25" hidden="false" customHeight="true" outlineLevel="0" collapsed="false">
      <c r="A939" s="89"/>
      <c r="B939" s="89"/>
      <c r="C939" s="89"/>
      <c r="D939" s="150"/>
      <c r="E939" s="89"/>
      <c r="F939" s="151"/>
      <c r="G939" s="151"/>
      <c r="H939" s="151"/>
      <c r="I939" s="151"/>
      <c r="J939" s="152"/>
      <c r="K939" s="152"/>
      <c r="L939" s="152"/>
      <c r="M939" s="152"/>
      <c r="N939" s="150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</row>
    <row r="940" customFormat="false" ht="11.25" hidden="false" customHeight="true" outlineLevel="0" collapsed="false">
      <c r="A940" s="89"/>
      <c r="B940" s="89"/>
      <c r="C940" s="89"/>
      <c r="D940" s="150"/>
      <c r="E940" s="89"/>
      <c r="F940" s="151"/>
      <c r="G940" s="151"/>
      <c r="H940" s="151"/>
      <c r="I940" s="151"/>
      <c r="J940" s="152"/>
      <c r="K940" s="152"/>
      <c r="L940" s="152"/>
      <c r="M940" s="152"/>
      <c r="N940" s="150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</row>
    <row r="941" customFormat="false" ht="11.25" hidden="false" customHeight="true" outlineLevel="0" collapsed="false">
      <c r="A941" s="89"/>
      <c r="B941" s="89"/>
      <c r="C941" s="89"/>
      <c r="D941" s="150"/>
      <c r="E941" s="89"/>
      <c r="F941" s="151"/>
      <c r="G941" s="151"/>
      <c r="H941" s="151"/>
      <c r="I941" s="151"/>
      <c r="J941" s="152"/>
      <c r="K941" s="152"/>
      <c r="L941" s="152"/>
      <c r="M941" s="152"/>
      <c r="N941" s="150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</row>
    <row r="942" customFormat="false" ht="11.25" hidden="false" customHeight="true" outlineLevel="0" collapsed="false">
      <c r="A942" s="89"/>
      <c r="B942" s="89"/>
      <c r="C942" s="89"/>
      <c r="D942" s="150"/>
      <c r="E942" s="89"/>
      <c r="F942" s="151"/>
      <c r="G942" s="151"/>
      <c r="H942" s="151"/>
      <c r="I942" s="151"/>
      <c r="J942" s="152"/>
      <c r="K942" s="152"/>
      <c r="L942" s="152"/>
      <c r="M942" s="152"/>
      <c r="N942" s="150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</row>
    <row r="943" customFormat="false" ht="11.25" hidden="false" customHeight="true" outlineLevel="0" collapsed="false">
      <c r="A943" s="89"/>
      <c r="B943" s="89"/>
      <c r="C943" s="89"/>
      <c r="D943" s="150"/>
      <c r="E943" s="89"/>
      <c r="F943" s="151"/>
      <c r="G943" s="151"/>
      <c r="H943" s="151"/>
      <c r="I943" s="151"/>
      <c r="J943" s="152"/>
      <c r="K943" s="152"/>
      <c r="L943" s="152"/>
      <c r="M943" s="152"/>
      <c r="N943" s="150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</row>
    <row r="944" customFormat="false" ht="11.25" hidden="false" customHeight="true" outlineLevel="0" collapsed="false">
      <c r="A944" s="89"/>
      <c r="B944" s="89"/>
      <c r="C944" s="89"/>
      <c r="D944" s="150"/>
      <c r="E944" s="89"/>
      <c r="F944" s="151"/>
      <c r="G944" s="151"/>
      <c r="H944" s="151"/>
      <c r="I944" s="151"/>
      <c r="J944" s="152"/>
      <c r="K944" s="152"/>
      <c r="L944" s="152"/>
      <c r="M944" s="152"/>
      <c r="N944" s="150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</row>
    <row r="945" customFormat="false" ht="11.25" hidden="false" customHeight="true" outlineLevel="0" collapsed="false">
      <c r="A945" s="89"/>
      <c r="B945" s="89"/>
      <c r="C945" s="89"/>
      <c r="D945" s="150"/>
      <c r="E945" s="89"/>
      <c r="F945" s="151"/>
      <c r="G945" s="151"/>
      <c r="H945" s="151"/>
      <c r="I945" s="151"/>
      <c r="J945" s="152"/>
      <c r="K945" s="152"/>
      <c r="L945" s="152"/>
      <c r="M945" s="152"/>
      <c r="N945" s="150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</row>
    <row r="946" customFormat="false" ht="11.25" hidden="false" customHeight="true" outlineLevel="0" collapsed="false">
      <c r="A946" s="89"/>
      <c r="B946" s="89"/>
      <c r="C946" s="89"/>
      <c r="D946" s="150"/>
      <c r="E946" s="89"/>
      <c r="F946" s="151"/>
      <c r="G946" s="151"/>
      <c r="H946" s="151"/>
      <c r="I946" s="151"/>
      <c r="J946" s="152"/>
      <c r="K946" s="152"/>
      <c r="L946" s="152"/>
      <c r="M946" s="152"/>
      <c r="N946" s="150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</row>
    <row r="947" customFormat="false" ht="11.25" hidden="false" customHeight="true" outlineLevel="0" collapsed="false">
      <c r="A947" s="89"/>
      <c r="B947" s="89"/>
      <c r="C947" s="89"/>
      <c r="D947" s="150"/>
      <c r="E947" s="89"/>
      <c r="F947" s="151"/>
      <c r="G947" s="151"/>
      <c r="H947" s="151"/>
      <c r="I947" s="151"/>
      <c r="J947" s="152"/>
      <c r="K947" s="152"/>
      <c r="L947" s="152"/>
      <c r="M947" s="152"/>
      <c r="N947" s="150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</row>
    <row r="948" customFormat="false" ht="11.25" hidden="false" customHeight="true" outlineLevel="0" collapsed="false">
      <c r="A948" s="89"/>
      <c r="B948" s="89"/>
      <c r="C948" s="89"/>
      <c r="D948" s="150"/>
      <c r="E948" s="89"/>
      <c r="F948" s="151"/>
      <c r="G948" s="151"/>
      <c r="H948" s="151"/>
      <c r="I948" s="151"/>
      <c r="J948" s="152"/>
      <c r="K948" s="152"/>
      <c r="L948" s="152"/>
      <c r="M948" s="152"/>
      <c r="N948" s="150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</row>
    <row r="949" customFormat="false" ht="11.25" hidden="false" customHeight="true" outlineLevel="0" collapsed="false">
      <c r="A949" s="89"/>
      <c r="B949" s="89"/>
      <c r="C949" s="89"/>
      <c r="D949" s="150"/>
      <c r="E949" s="89"/>
      <c r="F949" s="151"/>
      <c r="G949" s="151"/>
      <c r="H949" s="151"/>
      <c r="I949" s="151"/>
      <c r="J949" s="152"/>
      <c r="K949" s="152"/>
      <c r="L949" s="152"/>
      <c r="M949" s="152"/>
      <c r="N949" s="150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</row>
    <row r="950" customFormat="false" ht="11.25" hidden="false" customHeight="true" outlineLevel="0" collapsed="false">
      <c r="A950" s="89"/>
      <c r="B950" s="89"/>
      <c r="C950" s="89"/>
      <c r="D950" s="150"/>
      <c r="E950" s="89"/>
      <c r="F950" s="151"/>
      <c r="G950" s="151"/>
      <c r="H950" s="151"/>
      <c r="I950" s="151"/>
      <c r="J950" s="152"/>
      <c r="K950" s="152"/>
      <c r="L950" s="152"/>
      <c r="M950" s="152"/>
      <c r="N950" s="150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</row>
    <row r="951" customFormat="false" ht="11.25" hidden="false" customHeight="true" outlineLevel="0" collapsed="false">
      <c r="A951" s="89"/>
      <c r="B951" s="89"/>
      <c r="C951" s="89"/>
      <c r="D951" s="150"/>
      <c r="E951" s="89"/>
      <c r="F951" s="151"/>
      <c r="G951" s="151"/>
      <c r="H951" s="151"/>
      <c r="I951" s="151"/>
      <c r="J951" s="152"/>
      <c r="K951" s="152"/>
      <c r="L951" s="152"/>
      <c r="M951" s="152"/>
      <c r="N951" s="150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</row>
    <row r="952" customFormat="false" ht="11.25" hidden="false" customHeight="true" outlineLevel="0" collapsed="false">
      <c r="A952" s="89"/>
      <c r="B952" s="89"/>
      <c r="C952" s="89"/>
      <c r="D952" s="150"/>
      <c r="E952" s="89"/>
      <c r="F952" s="151"/>
      <c r="G952" s="151"/>
      <c r="H952" s="151"/>
      <c r="I952" s="151"/>
      <c r="J952" s="152"/>
      <c r="K952" s="152"/>
      <c r="L952" s="152"/>
      <c r="M952" s="152"/>
      <c r="N952" s="150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</row>
    <row r="953" customFormat="false" ht="11.25" hidden="false" customHeight="true" outlineLevel="0" collapsed="false">
      <c r="A953" s="89"/>
      <c r="B953" s="89"/>
      <c r="C953" s="89"/>
      <c r="D953" s="150"/>
      <c r="E953" s="89"/>
      <c r="F953" s="151"/>
      <c r="G953" s="151"/>
      <c r="H953" s="151"/>
      <c r="I953" s="151"/>
      <c r="J953" s="152"/>
      <c r="K953" s="152"/>
      <c r="L953" s="152"/>
      <c r="M953" s="152"/>
      <c r="N953" s="150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</row>
    <row r="954" customFormat="false" ht="11.25" hidden="false" customHeight="true" outlineLevel="0" collapsed="false">
      <c r="A954" s="89"/>
      <c r="B954" s="89"/>
      <c r="C954" s="89"/>
      <c r="D954" s="150"/>
      <c r="E954" s="89"/>
      <c r="F954" s="151"/>
      <c r="G954" s="151"/>
      <c r="H954" s="151"/>
      <c r="I954" s="151"/>
      <c r="J954" s="152"/>
      <c r="K954" s="152"/>
      <c r="L954" s="152"/>
      <c r="M954" s="152"/>
      <c r="N954" s="150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</row>
    <row r="955" customFormat="false" ht="11.25" hidden="false" customHeight="true" outlineLevel="0" collapsed="false">
      <c r="A955" s="89"/>
      <c r="B955" s="89"/>
      <c r="C955" s="89"/>
      <c r="D955" s="150"/>
      <c r="E955" s="89"/>
      <c r="F955" s="151"/>
      <c r="G955" s="151"/>
      <c r="H955" s="151"/>
      <c r="I955" s="151"/>
      <c r="J955" s="152"/>
      <c r="K955" s="152"/>
      <c r="L955" s="152"/>
      <c r="M955" s="152"/>
      <c r="N955" s="150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</row>
    <row r="956" customFormat="false" ht="11.25" hidden="false" customHeight="true" outlineLevel="0" collapsed="false">
      <c r="A956" s="89"/>
      <c r="B956" s="89"/>
      <c r="C956" s="89"/>
      <c r="D956" s="150"/>
      <c r="E956" s="89"/>
      <c r="F956" s="151"/>
      <c r="G956" s="151"/>
      <c r="H956" s="151"/>
      <c r="I956" s="151"/>
      <c r="J956" s="152"/>
      <c r="K956" s="152"/>
      <c r="L956" s="152"/>
      <c r="M956" s="152"/>
      <c r="N956" s="150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</row>
    <row r="957" customFormat="false" ht="11.25" hidden="false" customHeight="true" outlineLevel="0" collapsed="false">
      <c r="A957" s="89"/>
      <c r="B957" s="89"/>
      <c r="C957" s="89"/>
      <c r="D957" s="150"/>
      <c r="E957" s="89"/>
      <c r="F957" s="151"/>
      <c r="G957" s="151"/>
      <c r="H957" s="151"/>
      <c r="I957" s="151"/>
      <c r="J957" s="152"/>
      <c r="K957" s="152"/>
      <c r="L957" s="152"/>
      <c r="M957" s="152"/>
      <c r="N957" s="150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</row>
    <row r="958" customFormat="false" ht="11.25" hidden="false" customHeight="true" outlineLevel="0" collapsed="false">
      <c r="A958" s="89"/>
      <c r="B958" s="89"/>
      <c r="C958" s="89"/>
      <c r="D958" s="150"/>
      <c r="E958" s="89"/>
      <c r="F958" s="151"/>
      <c r="G958" s="151"/>
      <c r="H958" s="151"/>
      <c r="I958" s="151"/>
      <c r="J958" s="152"/>
      <c r="K958" s="152"/>
      <c r="L958" s="152"/>
      <c r="M958" s="152"/>
      <c r="N958" s="150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</row>
    <row r="959" customFormat="false" ht="11.25" hidden="false" customHeight="true" outlineLevel="0" collapsed="false">
      <c r="A959" s="89"/>
      <c r="B959" s="89"/>
      <c r="C959" s="89"/>
      <c r="D959" s="150"/>
      <c r="E959" s="89"/>
      <c r="F959" s="151"/>
      <c r="G959" s="151"/>
      <c r="H959" s="151"/>
      <c r="I959" s="151"/>
      <c r="J959" s="152"/>
      <c r="K959" s="152"/>
      <c r="L959" s="152"/>
      <c r="M959" s="152"/>
      <c r="N959" s="150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</row>
    <row r="960" customFormat="false" ht="11.25" hidden="false" customHeight="true" outlineLevel="0" collapsed="false">
      <c r="A960" s="89"/>
      <c r="B960" s="89"/>
      <c r="C960" s="89"/>
      <c r="D960" s="150"/>
      <c r="E960" s="89"/>
      <c r="F960" s="151"/>
      <c r="G960" s="151"/>
      <c r="H960" s="151"/>
      <c r="I960" s="151"/>
      <c r="J960" s="152"/>
      <c r="K960" s="152"/>
      <c r="L960" s="152"/>
      <c r="M960" s="152"/>
      <c r="N960" s="150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</row>
    <row r="961" customFormat="false" ht="11.25" hidden="false" customHeight="true" outlineLevel="0" collapsed="false">
      <c r="A961" s="89"/>
      <c r="B961" s="89"/>
      <c r="C961" s="89"/>
      <c r="D961" s="150"/>
      <c r="E961" s="89"/>
      <c r="F961" s="151"/>
      <c r="G961" s="151"/>
      <c r="H961" s="151"/>
      <c r="I961" s="151"/>
      <c r="J961" s="152"/>
      <c r="K961" s="152"/>
      <c r="L961" s="152"/>
      <c r="M961" s="152"/>
      <c r="N961" s="150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</row>
    <row r="962" customFormat="false" ht="11.25" hidden="false" customHeight="true" outlineLevel="0" collapsed="false">
      <c r="A962" s="89"/>
      <c r="B962" s="89"/>
      <c r="C962" s="89"/>
      <c r="D962" s="150"/>
      <c r="E962" s="89"/>
      <c r="F962" s="151"/>
      <c r="G962" s="151"/>
      <c r="H962" s="151"/>
      <c r="I962" s="151"/>
      <c r="J962" s="152"/>
      <c r="K962" s="152"/>
      <c r="L962" s="152"/>
      <c r="M962" s="152"/>
      <c r="N962" s="150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</row>
    <row r="963" customFormat="false" ht="11.25" hidden="false" customHeight="true" outlineLevel="0" collapsed="false">
      <c r="A963" s="89"/>
      <c r="B963" s="89"/>
      <c r="C963" s="89"/>
      <c r="D963" s="150"/>
      <c r="E963" s="89"/>
      <c r="F963" s="151"/>
      <c r="G963" s="151"/>
      <c r="H963" s="151"/>
      <c r="I963" s="151"/>
      <c r="J963" s="152"/>
      <c r="K963" s="152"/>
      <c r="L963" s="152"/>
      <c r="M963" s="152"/>
      <c r="N963" s="150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</row>
    <row r="964" customFormat="false" ht="11.25" hidden="false" customHeight="true" outlineLevel="0" collapsed="false">
      <c r="A964" s="89"/>
      <c r="B964" s="89"/>
      <c r="C964" s="89"/>
      <c r="D964" s="150"/>
      <c r="E964" s="89"/>
      <c r="F964" s="151"/>
      <c r="G964" s="151"/>
      <c r="H964" s="151"/>
      <c r="I964" s="151"/>
      <c r="J964" s="152"/>
      <c r="K964" s="152"/>
      <c r="L964" s="152"/>
      <c r="M964" s="152"/>
      <c r="N964" s="150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</row>
    <row r="965" customFormat="false" ht="11.25" hidden="false" customHeight="true" outlineLevel="0" collapsed="false">
      <c r="A965" s="89"/>
      <c r="B965" s="89"/>
      <c r="C965" s="89"/>
      <c r="D965" s="150"/>
      <c r="E965" s="89"/>
      <c r="F965" s="151"/>
      <c r="G965" s="151"/>
      <c r="H965" s="151"/>
      <c r="I965" s="151"/>
      <c r="J965" s="152"/>
      <c r="K965" s="152"/>
      <c r="L965" s="152"/>
      <c r="M965" s="152"/>
      <c r="N965" s="150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</row>
    <row r="966" customFormat="false" ht="11.25" hidden="false" customHeight="true" outlineLevel="0" collapsed="false">
      <c r="A966" s="89"/>
      <c r="B966" s="89"/>
      <c r="C966" s="89"/>
      <c r="D966" s="150"/>
      <c r="E966" s="89"/>
      <c r="F966" s="151"/>
      <c r="G966" s="151"/>
      <c r="H966" s="151"/>
      <c r="I966" s="151"/>
      <c r="J966" s="152"/>
      <c r="K966" s="152"/>
      <c r="L966" s="152"/>
      <c r="M966" s="152"/>
      <c r="N966" s="150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</row>
    <row r="967" customFormat="false" ht="11.25" hidden="false" customHeight="true" outlineLevel="0" collapsed="false">
      <c r="A967" s="89"/>
      <c r="B967" s="89"/>
      <c r="C967" s="89"/>
      <c r="D967" s="150"/>
      <c r="E967" s="89"/>
      <c r="F967" s="151"/>
      <c r="G967" s="151"/>
      <c r="H967" s="151"/>
      <c r="I967" s="151"/>
      <c r="J967" s="152"/>
      <c r="K967" s="152"/>
      <c r="L967" s="152"/>
      <c r="M967" s="152"/>
      <c r="N967" s="150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</row>
    <row r="968" customFormat="false" ht="11.25" hidden="false" customHeight="true" outlineLevel="0" collapsed="false">
      <c r="A968" s="89"/>
      <c r="B968" s="89"/>
      <c r="C968" s="89"/>
      <c r="D968" s="150"/>
      <c r="E968" s="89"/>
      <c r="F968" s="151"/>
      <c r="G968" s="151"/>
      <c r="H968" s="151"/>
      <c r="I968" s="151"/>
      <c r="J968" s="152"/>
      <c r="K968" s="152"/>
      <c r="L968" s="152"/>
      <c r="M968" s="152"/>
      <c r="N968" s="150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</row>
    <row r="969" customFormat="false" ht="11.25" hidden="false" customHeight="true" outlineLevel="0" collapsed="false">
      <c r="A969" s="89"/>
      <c r="B969" s="89"/>
      <c r="C969" s="89"/>
      <c r="D969" s="150"/>
      <c r="E969" s="89"/>
      <c r="F969" s="151"/>
      <c r="G969" s="151"/>
      <c r="H969" s="151"/>
      <c r="I969" s="151"/>
      <c r="J969" s="152"/>
      <c r="K969" s="152"/>
      <c r="L969" s="152"/>
      <c r="M969" s="152"/>
      <c r="N969" s="150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</row>
    <row r="970" customFormat="false" ht="11.25" hidden="false" customHeight="true" outlineLevel="0" collapsed="false">
      <c r="A970" s="89"/>
      <c r="B970" s="89"/>
      <c r="C970" s="89"/>
      <c r="D970" s="150"/>
      <c r="E970" s="89"/>
      <c r="F970" s="151"/>
      <c r="G970" s="151"/>
      <c r="H970" s="151"/>
      <c r="I970" s="151"/>
      <c r="J970" s="152"/>
      <c r="K970" s="152"/>
      <c r="L970" s="152"/>
      <c r="M970" s="152"/>
      <c r="N970" s="150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</row>
    <row r="971" customFormat="false" ht="11.25" hidden="false" customHeight="true" outlineLevel="0" collapsed="false">
      <c r="A971" s="89"/>
      <c r="B971" s="89"/>
      <c r="C971" s="89"/>
      <c r="D971" s="150"/>
      <c r="E971" s="89"/>
      <c r="F971" s="151"/>
      <c r="G971" s="151"/>
      <c r="H971" s="151"/>
      <c r="I971" s="151"/>
      <c r="J971" s="152"/>
      <c r="K971" s="152"/>
      <c r="L971" s="152"/>
      <c r="M971" s="152"/>
      <c r="N971" s="150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</row>
    <row r="972" customFormat="false" ht="11.25" hidden="false" customHeight="true" outlineLevel="0" collapsed="false">
      <c r="A972" s="89"/>
      <c r="B972" s="89"/>
      <c r="C972" s="89"/>
      <c r="D972" s="150"/>
      <c r="E972" s="89"/>
      <c r="F972" s="151"/>
      <c r="G972" s="151"/>
      <c r="H972" s="151"/>
      <c r="I972" s="151"/>
      <c r="J972" s="152"/>
      <c r="K972" s="152"/>
      <c r="L972" s="152"/>
      <c r="M972" s="152"/>
      <c r="N972" s="150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</row>
    <row r="973" customFormat="false" ht="11.25" hidden="false" customHeight="true" outlineLevel="0" collapsed="false">
      <c r="A973" s="89"/>
      <c r="B973" s="89"/>
      <c r="C973" s="89"/>
      <c r="D973" s="150"/>
      <c r="E973" s="89"/>
      <c r="F973" s="151"/>
      <c r="G973" s="151"/>
      <c r="H973" s="151"/>
      <c r="I973" s="151"/>
      <c r="J973" s="152"/>
      <c r="K973" s="152"/>
      <c r="L973" s="152"/>
      <c r="M973" s="152"/>
      <c r="N973" s="150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</row>
    <row r="974" customFormat="false" ht="11.25" hidden="false" customHeight="true" outlineLevel="0" collapsed="false">
      <c r="A974" s="89"/>
      <c r="B974" s="89"/>
      <c r="C974" s="89"/>
      <c r="D974" s="150"/>
      <c r="E974" s="89"/>
      <c r="F974" s="151"/>
      <c r="G974" s="151"/>
      <c r="H974" s="151"/>
      <c r="I974" s="151"/>
      <c r="J974" s="152"/>
      <c r="K974" s="152"/>
      <c r="L974" s="152"/>
      <c r="M974" s="152"/>
      <c r="N974" s="150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</row>
    <row r="975" customFormat="false" ht="11.25" hidden="false" customHeight="true" outlineLevel="0" collapsed="false">
      <c r="A975" s="89"/>
      <c r="B975" s="89"/>
      <c r="C975" s="89"/>
      <c r="D975" s="150"/>
      <c r="E975" s="89"/>
      <c r="F975" s="151"/>
      <c r="G975" s="151"/>
      <c r="H975" s="151"/>
      <c r="I975" s="151"/>
      <c r="J975" s="152"/>
      <c r="K975" s="152"/>
      <c r="L975" s="152"/>
      <c r="M975" s="152"/>
      <c r="N975" s="150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</row>
    <row r="976" customFormat="false" ht="11.25" hidden="false" customHeight="true" outlineLevel="0" collapsed="false">
      <c r="A976" s="89"/>
      <c r="B976" s="89"/>
      <c r="C976" s="89"/>
      <c r="D976" s="150"/>
      <c r="E976" s="89"/>
      <c r="F976" s="151"/>
      <c r="G976" s="151"/>
      <c r="H976" s="151"/>
      <c r="I976" s="151"/>
      <c r="J976" s="152"/>
      <c r="K976" s="152"/>
      <c r="L976" s="152"/>
      <c r="M976" s="152"/>
      <c r="N976" s="150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</row>
    <row r="977" customFormat="false" ht="11.25" hidden="false" customHeight="true" outlineLevel="0" collapsed="false">
      <c r="A977" s="89"/>
      <c r="B977" s="89"/>
      <c r="C977" s="89"/>
      <c r="D977" s="150"/>
      <c r="E977" s="89"/>
      <c r="F977" s="151"/>
      <c r="G977" s="151"/>
      <c r="H977" s="151"/>
      <c r="I977" s="151"/>
      <c r="J977" s="152"/>
      <c r="K977" s="152"/>
      <c r="L977" s="152"/>
      <c r="M977" s="152"/>
      <c r="N977" s="150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</row>
    <row r="978" customFormat="false" ht="11.25" hidden="false" customHeight="true" outlineLevel="0" collapsed="false">
      <c r="A978" s="89"/>
      <c r="B978" s="89"/>
      <c r="C978" s="89"/>
      <c r="D978" s="150"/>
      <c r="E978" s="89"/>
      <c r="F978" s="151"/>
      <c r="G978" s="151"/>
      <c r="H978" s="151"/>
      <c r="I978" s="151"/>
      <c r="J978" s="152"/>
      <c r="K978" s="152"/>
      <c r="L978" s="152"/>
      <c r="M978" s="152"/>
      <c r="N978" s="150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</row>
    <row r="979" customFormat="false" ht="11.25" hidden="false" customHeight="true" outlineLevel="0" collapsed="false">
      <c r="A979" s="89"/>
      <c r="B979" s="89"/>
      <c r="C979" s="89"/>
      <c r="D979" s="150"/>
      <c r="E979" s="89"/>
      <c r="F979" s="151"/>
      <c r="G979" s="151"/>
      <c r="H979" s="151"/>
      <c r="I979" s="151"/>
      <c r="J979" s="152"/>
      <c r="K979" s="152"/>
      <c r="L979" s="152"/>
      <c r="M979" s="152"/>
      <c r="N979" s="150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</row>
    <row r="980" customFormat="false" ht="11.25" hidden="false" customHeight="true" outlineLevel="0" collapsed="false">
      <c r="A980" s="89"/>
      <c r="B980" s="89"/>
      <c r="C980" s="89"/>
      <c r="D980" s="150"/>
      <c r="E980" s="89"/>
      <c r="F980" s="151"/>
      <c r="G980" s="151"/>
      <c r="H980" s="151"/>
      <c r="I980" s="151"/>
      <c r="J980" s="152"/>
      <c r="K980" s="152"/>
      <c r="L980" s="152"/>
      <c r="M980" s="152"/>
      <c r="N980" s="150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</row>
    <row r="981" customFormat="false" ht="11.25" hidden="false" customHeight="true" outlineLevel="0" collapsed="false">
      <c r="A981" s="89"/>
      <c r="B981" s="89"/>
      <c r="C981" s="89"/>
      <c r="D981" s="150"/>
      <c r="E981" s="89"/>
      <c r="F981" s="151"/>
      <c r="G981" s="151"/>
      <c r="H981" s="151"/>
      <c r="I981" s="151"/>
      <c r="J981" s="152"/>
      <c r="K981" s="152"/>
      <c r="L981" s="152"/>
      <c r="M981" s="152"/>
      <c r="N981" s="150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</row>
    <row r="982" customFormat="false" ht="11.25" hidden="false" customHeight="true" outlineLevel="0" collapsed="false">
      <c r="A982" s="89"/>
      <c r="B982" s="89"/>
      <c r="C982" s="89"/>
      <c r="D982" s="150"/>
      <c r="E982" s="89"/>
      <c r="F982" s="151"/>
      <c r="G982" s="151"/>
      <c r="H982" s="151"/>
      <c r="I982" s="151"/>
      <c r="J982" s="152"/>
      <c r="K982" s="152"/>
      <c r="L982" s="152"/>
      <c r="M982" s="152"/>
      <c r="N982" s="150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</row>
    <row r="983" customFormat="false" ht="11.25" hidden="false" customHeight="true" outlineLevel="0" collapsed="false">
      <c r="A983" s="89"/>
      <c r="B983" s="89"/>
      <c r="C983" s="89"/>
      <c r="D983" s="150"/>
      <c r="E983" s="89"/>
      <c r="F983" s="151"/>
      <c r="G983" s="151"/>
      <c r="H983" s="151"/>
      <c r="I983" s="151"/>
      <c r="J983" s="152"/>
      <c r="K983" s="152"/>
      <c r="L983" s="152"/>
      <c r="M983" s="152"/>
      <c r="N983" s="150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</row>
    <row r="984" customFormat="false" ht="11.25" hidden="false" customHeight="true" outlineLevel="0" collapsed="false">
      <c r="A984" s="89"/>
      <c r="B984" s="89"/>
      <c r="C984" s="89"/>
      <c r="D984" s="150"/>
      <c r="E984" s="89"/>
      <c r="F984" s="151"/>
      <c r="G984" s="151"/>
      <c r="H984" s="151"/>
      <c r="I984" s="151"/>
      <c r="J984" s="152"/>
      <c r="K984" s="152"/>
      <c r="L984" s="152"/>
      <c r="M984" s="152"/>
      <c r="N984" s="150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</row>
    <row r="985" customFormat="false" ht="11.25" hidden="false" customHeight="true" outlineLevel="0" collapsed="false">
      <c r="A985" s="89"/>
      <c r="B985" s="89"/>
      <c r="C985" s="89"/>
      <c r="D985" s="150"/>
      <c r="E985" s="89"/>
      <c r="F985" s="151"/>
      <c r="G985" s="151"/>
      <c r="H985" s="151"/>
      <c r="I985" s="151"/>
      <c r="J985" s="152"/>
      <c r="K985" s="152"/>
      <c r="L985" s="152"/>
      <c r="M985" s="152"/>
      <c r="N985" s="150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</row>
    <row r="986" customFormat="false" ht="11.25" hidden="false" customHeight="true" outlineLevel="0" collapsed="false">
      <c r="A986" s="89"/>
      <c r="B986" s="89"/>
      <c r="C986" s="89"/>
      <c r="D986" s="150"/>
      <c r="E986" s="89"/>
      <c r="F986" s="151"/>
      <c r="G986" s="151"/>
      <c r="H986" s="151"/>
      <c r="I986" s="151"/>
      <c r="J986" s="152"/>
      <c r="K986" s="152"/>
      <c r="L986" s="152"/>
      <c r="M986" s="152"/>
      <c r="N986" s="150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</row>
    <row r="987" customFormat="false" ht="11.25" hidden="false" customHeight="true" outlineLevel="0" collapsed="false">
      <c r="A987" s="89"/>
      <c r="B987" s="89"/>
      <c r="C987" s="89"/>
      <c r="D987" s="150"/>
      <c r="E987" s="89"/>
      <c r="F987" s="151"/>
      <c r="G987" s="151"/>
      <c r="H987" s="151"/>
      <c r="I987" s="151"/>
      <c r="J987" s="152"/>
      <c r="K987" s="152"/>
      <c r="L987" s="152"/>
      <c r="M987" s="152"/>
      <c r="N987" s="150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</row>
    <row r="988" customFormat="false" ht="11.25" hidden="false" customHeight="true" outlineLevel="0" collapsed="false">
      <c r="A988" s="89"/>
      <c r="B988" s="89"/>
      <c r="C988" s="89"/>
      <c r="D988" s="150"/>
      <c r="E988" s="89"/>
      <c r="F988" s="151"/>
      <c r="G988" s="151"/>
      <c r="H988" s="151"/>
      <c r="I988" s="151"/>
      <c r="J988" s="152"/>
      <c r="K988" s="152"/>
      <c r="L988" s="152"/>
      <c r="M988" s="152"/>
      <c r="N988" s="150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</row>
    <row r="989" customFormat="false" ht="11.25" hidden="false" customHeight="true" outlineLevel="0" collapsed="false">
      <c r="A989" s="89"/>
      <c r="B989" s="89"/>
      <c r="C989" s="89"/>
      <c r="D989" s="150"/>
      <c r="E989" s="89"/>
      <c r="F989" s="151"/>
      <c r="G989" s="151"/>
      <c r="H989" s="151"/>
      <c r="I989" s="151"/>
      <c r="J989" s="152"/>
      <c r="K989" s="152"/>
      <c r="L989" s="152"/>
      <c r="M989" s="152"/>
      <c r="N989" s="150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</row>
    <row r="990" customFormat="false" ht="11.25" hidden="false" customHeight="true" outlineLevel="0" collapsed="false">
      <c r="A990" s="89"/>
      <c r="B990" s="89"/>
      <c r="C990" s="89"/>
      <c r="D990" s="150"/>
      <c r="E990" s="89"/>
      <c r="F990" s="151"/>
      <c r="G990" s="151"/>
      <c r="H990" s="151"/>
      <c r="I990" s="151"/>
      <c r="J990" s="152"/>
      <c r="K990" s="152"/>
      <c r="L990" s="152"/>
      <c r="M990" s="152"/>
      <c r="N990" s="150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</row>
    <row r="991" customFormat="false" ht="11.25" hidden="false" customHeight="true" outlineLevel="0" collapsed="false">
      <c r="A991" s="89"/>
      <c r="B991" s="89"/>
      <c r="C991" s="89"/>
      <c r="D991" s="150"/>
      <c r="E991" s="89"/>
      <c r="F991" s="151"/>
      <c r="G991" s="151"/>
      <c r="H991" s="151"/>
      <c r="I991" s="151"/>
      <c r="J991" s="152"/>
      <c r="K991" s="152"/>
      <c r="L991" s="152"/>
      <c r="M991" s="152"/>
      <c r="N991" s="150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</row>
    <row r="992" customFormat="false" ht="11.25" hidden="false" customHeight="true" outlineLevel="0" collapsed="false">
      <c r="A992" s="89"/>
      <c r="B992" s="89"/>
      <c r="C992" s="89"/>
      <c r="D992" s="150"/>
      <c r="E992" s="89"/>
      <c r="F992" s="151"/>
      <c r="G992" s="151"/>
      <c r="H992" s="151"/>
      <c r="I992" s="151"/>
      <c r="J992" s="152"/>
      <c r="K992" s="152"/>
      <c r="L992" s="152"/>
      <c r="M992" s="152"/>
      <c r="N992" s="150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</row>
    <row r="993" customFormat="false" ht="11.25" hidden="false" customHeight="true" outlineLevel="0" collapsed="false">
      <c r="A993" s="89"/>
      <c r="B993" s="89"/>
      <c r="C993" s="89"/>
      <c r="D993" s="150"/>
      <c r="E993" s="89"/>
      <c r="F993" s="151"/>
      <c r="G993" s="151"/>
      <c r="H993" s="151"/>
      <c r="I993" s="151"/>
      <c r="J993" s="152"/>
      <c r="K993" s="152"/>
      <c r="L993" s="152"/>
      <c r="M993" s="152"/>
      <c r="N993" s="150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</row>
    <row r="994" customFormat="false" ht="11.25" hidden="false" customHeight="true" outlineLevel="0" collapsed="false">
      <c r="A994" s="89"/>
      <c r="B994" s="89"/>
      <c r="C994" s="89"/>
      <c r="D994" s="150"/>
      <c r="E994" s="89"/>
      <c r="F994" s="151"/>
      <c r="G994" s="151"/>
      <c r="H994" s="151"/>
      <c r="I994" s="151"/>
      <c r="J994" s="152"/>
      <c r="K994" s="152"/>
      <c r="L994" s="152"/>
      <c r="M994" s="152"/>
      <c r="N994" s="150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</row>
    <row r="995" customFormat="false" ht="11.25" hidden="false" customHeight="true" outlineLevel="0" collapsed="false">
      <c r="A995" s="89"/>
      <c r="B995" s="89"/>
      <c r="C995" s="89"/>
      <c r="D995" s="150"/>
      <c r="E995" s="89"/>
      <c r="F995" s="151"/>
      <c r="G995" s="151"/>
      <c r="H995" s="151"/>
      <c r="I995" s="151"/>
      <c r="J995" s="152"/>
      <c r="K995" s="152"/>
      <c r="L995" s="152"/>
      <c r="M995" s="152"/>
      <c r="N995" s="150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</row>
    <row r="996" customFormat="false" ht="11.25" hidden="false" customHeight="true" outlineLevel="0" collapsed="false">
      <c r="A996" s="89"/>
      <c r="B996" s="89"/>
      <c r="C996" s="89"/>
      <c r="D996" s="150"/>
      <c r="E996" s="89"/>
      <c r="F996" s="151"/>
      <c r="G996" s="151"/>
      <c r="H996" s="151"/>
      <c r="I996" s="151"/>
      <c r="J996" s="152"/>
      <c r="K996" s="152"/>
      <c r="L996" s="152"/>
      <c r="M996" s="152"/>
      <c r="N996" s="150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</row>
    <row r="997" customFormat="false" ht="11.25" hidden="false" customHeight="true" outlineLevel="0" collapsed="false">
      <c r="A997" s="89"/>
      <c r="B997" s="89"/>
      <c r="C997" s="89"/>
      <c r="D997" s="150"/>
      <c r="E997" s="89"/>
      <c r="F997" s="151"/>
      <c r="G997" s="151"/>
      <c r="H997" s="151"/>
      <c r="I997" s="151"/>
      <c r="J997" s="152"/>
      <c r="K997" s="152"/>
      <c r="L997" s="152"/>
      <c r="M997" s="152"/>
      <c r="N997" s="150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</row>
    <row r="998" customFormat="false" ht="11.25" hidden="false" customHeight="true" outlineLevel="0" collapsed="false">
      <c r="A998" s="89"/>
      <c r="B998" s="89"/>
      <c r="C998" s="89"/>
      <c r="D998" s="150"/>
      <c r="E998" s="89"/>
      <c r="F998" s="151"/>
      <c r="G998" s="151"/>
      <c r="H998" s="151"/>
      <c r="I998" s="151"/>
      <c r="J998" s="152"/>
      <c r="K998" s="152"/>
      <c r="L998" s="152"/>
      <c r="M998" s="152"/>
      <c r="N998" s="150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</row>
    <row r="999" customFormat="false" ht="11.25" hidden="false" customHeight="true" outlineLevel="0" collapsed="false">
      <c r="A999" s="89"/>
      <c r="B999" s="89"/>
      <c r="C999" s="89"/>
      <c r="D999" s="150"/>
      <c r="E999" s="89"/>
      <c r="F999" s="151"/>
      <c r="G999" s="151"/>
      <c r="H999" s="151"/>
      <c r="I999" s="151"/>
      <c r="J999" s="152"/>
      <c r="K999" s="152"/>
      <c r="L999" s="152"/>
      <c r="M999" s="152"/>
      <c r="N999" s="150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</row>
    <row r="1000" customFormat="false" ht="11.25" hidden="false" customHeight="true" outlineLevel="0" collapsed="false">
      <c r="A1000" s="89"/>
      <c r="B1000" s="89"/>
      <c r="C1000" s="89"/>
      <c r="D1000" s="150"/>
      <c r="E1000" s="89"/>
      <c r="F1000" s="151"/>
      <c r="G1000" s="151"/>
      <c r="H1000" s="151"/>
      <c r="I1000" s="151"/>
      <c r="J1000" s="152"/>
      <c r="K1000" s="152"/>
      <c r="L1000" s="152"/>
      <c r="M1000" s="152"/>
      <c r="N1000" s="150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</row>
  </sheetData>
  <mergeCells count="9">
    <mergeCell ref="A1:N1"/>
    <mergeCell ref="A2:A3"/>
    <mergeCell ref="B2:B3"/>
    <mergeCell ref="C2:C3"/>
    <mergeCell ref="D2:D3"/>
    <mergeCell ref="E2:E3"/>
    <mergeCell ref="F2:I2"/>
    <mergeCell ref="J2:M2"/>
    <mergeCell ref="N2:N3"/>
  </mergeCells>
  <dataValidations count="4">
    <dataValidation allowBlank="true" operator="between" showDropDown="false" showErrorMessage="true" showInputMessage="false" sqref="J4:M105" type="list">
      <formula1>Parametros!$I$2:$I$5</formula1>
      <formula2>0</formula2>
    </dataValidation>
    <dataValidation allowBlank="true" operator="between" showDropDown="false" showErrorMessage="true" showInputMessage="false" sqref="A4:A105" type="list">
      <formula1>'PDU 2020-2023'!$C$4:$C$105</formula1>
      <formula2>0</formula2>
    </dataValidation>
    <dataValidation allowBlank="true" operator="between" showDropDown="true" showErrorMessage="true" showInputMessage="false" sqref="B4:B105" type="decimal">
      <formula1>1</formula1>
      <formula2>20</formula2>
    </dataValidation>
    <dataValidation allowBlank="true" operator="between" showDropDown="false" showErrorMessage="true" showInputMessage="false" sqref="E4:E105" type="list">
      <formula1>Parametros!$F$2:$F$3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8.88"/>
    <col collapsed="false" customWidth="true" hidden="false" outlineLevel="0" max="2" min="2" style="0" width="4.38"/>
    <col collapsed="false" customWidth="true" hidden="false" outlineLevel="0" max="3" min="3" style="0" width="6.13"/>
    <col collapsed="false" customWidth="true" hidden="false" outlineLevel="0" max="4" min="4" style="0" width="37.62"/>
    <col collapsed="false" customWidth="true" hidden="false" outlineLevel="0" max="5" min="5" style="0" width="10.38"/>
    <col collapsed="false" customWidth="true" hidden="false" outlineLevel="0" max="10" min="10" style="0" width="13.88"/>
    <col collapsed="false" customWidth="true" hidden="false" outlineLevel="0" max="13" min="11" style="0" width="13.25"/>
    <col collapsed="false" customWidth="true" hidden="false" outlineLevel="0" max="14" min="14" style="0" width="31.38"/>
  </cols>
  <sheetData>
    <row r="1" customFormat="false" ht="14.25" hidden="false" customHeight="true" outlineLevel="0" collapsed="false">
      <c r="A1" s="153" t="str">
        <f aca="false">IFERROR(__xludf.dummyfunction("IMPORTRANGE(""1NZaPiVqFzCwlmUq8LagadmqPKSiT9llb2c3OuwvzV-4"",""PA 2021!a1"")"),"Plano Anual 2021")</f>
        <v>Plano Anual 2021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customFormat="false" ht="11.25" hidden="false" customHeight="true" outlineLevel="0" collapsed="false">
      <c r="A2" s="96" t="str">
        <f aca="false">IFERROR(__xludf.dummyfunction("IMPORTRANGE(""1NZaPiVqFzCwlmUq8LagadmqPKSiT9llb2c3OuwvzV-4"",""PA 2021!a2"")"),"Vinculação com o PDU")</f>
        <v>Vinculação com o PDU</v>
      </c>
      <c r="B2" s="97" t="str">
        <f aca="false">IFERROR(__xludf.dummyfunction("IMPORTRANGE(""1NZaPiVqFzCwlmUq8LagadmqPKSiT9llb2c3OuwvzV-4"",""PA 2021!b2"")"),"Nº da Ação")</f>
        <v>Nº da Ação</v>
      </c>
      <c r="C2" s="97" t="str">
        <f aca="false">IFERROR(__xludf.dummyfunction("IMPORTRANGE(""1NZaPiVqFzCwlmUq8LagadmqPKSiT9llb2c3OuwvzV-4"",""PA 2021!c2"")"),"Código da Ação")</f>
        <v>Código da Ação</v>
      </c>
      <c r="D2" s="98" t="str">
        <f aca="false">IFERROR(__xludf.dummyfunction("IMPORTRANGE(""1NZaPiVqFzCwlmUq8LagadmqPKSiT9llb2c3OuwvzV-4"",""PA 2021!d2"")"),"Ação")</f>
        <v>Ação</v>
      </c>
      <c r="E2" s="1" t="str">
        <f aca="false">IFERROR(__xludf.dummyfunction("IMPORTRANGE(""1NZaPiVqFzCwlmUq8LagadmqPKSiT9llb2c3OuwvzV-4"",""PA 2021!e2"")"),"Recursos Orçamentários")</f>
        <v>Recursos Orçamentários</v>
      </c>
      <c r="F2" s="99" t="str">
        <f aca="false">IFERROR(__xludf.dummyfunction("IMPORTRANGE(""1NZaPiVqFzCwlmUq8LagadmqPKSiT9llb2c3OuwvzV-4"",""PA 2021!f2"")"),"Descrição das Entregas")</f>
        <v>Descrição das Entregas</v>
      </c>
      <c r="G2" s="99"/>
      <c r="H2" s="99"/>
      <c r="I2" s="99"/>
      <c r="J2" s="99" t="str">
        <f aca="false">IFERROR(__xludf.dummyfunction("IMPORTRANGE(""1NZaPiVqFzCwlmUq8LagadmqPKSiT9llb2c3OuwvzV-4"",""PA 2021!j2"")"),"Situação das Entregas")</f>
        <v>Situação das Entregas</v>
      </c>
      <c r="K2" s="99"/>
      <c r="L2" s="99"/>
      <c r="M2" s="99"/>
      <c r="N2" s="100" t="str">
        <f aca="false">IFERROR(__xludf.dummyfunction("IMPORTRANGE(""1NZaPiVqFzCwlmUq8LagadmqPKSiT9llb2c3OuwvzV-4"",""PA 2021!n2"")"),"Observação")</f>
        <v>Observação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customFormat="false" ht="11.25" hidden="false" customHeight="true" outlineLevel="0" collapsed="false">
      <c r="A3" s="96"/>
      <c r="B3" s="97"/>
      <c r="C3" s="97"/>
      <c r="D3" s="97"/>
      <c r="E3" s="1"/>
      <c r="F3" s="154" t="str">
        <f aca="false">IFERROR(__xludf.dummyfunction("IMPORTRANGE(""1NZaPiVqFzCwlmUq8LagadmqPKSiT9llb2c3OuwvzV-4"",""PA 2021!f3"")"),"1º Trimestre")</f>
        <v>1º Trimestre</v>
      </c>
      <c r="G3" s="104" t="str">
        <f aca="false">IFERROR(__xludf.dummyfunction("IMPORTRANGE(""1NZaPiVqFzCwlmUq8LagadmqPKSiT9llb2c3OuwvzV-4"",""PA 2021!g3"")"),"2º Trimestre")</f>
        <v>2º Trimestre</v>
      </c>
      <c r="H3" s="104" t="str">
        <f aca="false">IFERROR(__xludf.dummyfunction("IMPORTRANGE(""1NZaPiVqFzCwlmUq8LagadmqPKSiT9llb2c3OuwvzV-4"",""PA 2021!h3"")"),"3º Trimestre")</f>
        <v>3º Trimestre</v>
      </c>
      <c r="I3" s="104" t="str">
        <f aca="false">IFERROR(__xludf.dummyfunction("IMPORTRANGE(""1NZaPiVqFzCwlmUq8LagadmqPKSiT9llb2c3OuwvzV-4"",""PA 2021!i3"")"),"4º Trimestre")</f>
        <v>4º Trimestre</v>
      </c>
      <c r="J3" s="103" t="str">
        <f aca="false">IFERROR(__xludf.dummyfunction("IMPORTRANGE(""1NZaPiVqFzCwlmUq8LagadmqPKSiT9llb2c3OuwvzV-4"",""PA 2021!j3"")"),"1º Trimestre")</f>
        <v>1º Trimestre</v>
      </c>
      <c r="K3" s="104" t="str">
        <f aca="false">IFERROR(__xludf.dummyfunction("IMPORTRANGE(""1NZaPiVqFzCwlmUq8LagadmqPKSiT9llb2c3OuwvzV-4"",""PA 2021!k3"")"),"2º Trimestre")</f>
        <v>2º Trimestre</v>
      </c>
      <c r="L3" s="104" t="str">
        <f aca="false">IFERROR(__xludf.dummyfunction("IMPORTRANGE(""1NZaPiVqFzCwlmUq8LagadmqPKSiT9llb2c3OuwvzV-4"",""PA 2021!l3"")"),"3º Trimestre")</f>
        <v>3º Trimestre</v>
      </c>
      <c r="M3" s="105" t="str">
        <f aca="false">IFERROR(__xludf.dummyfunction("IMPORTRANGE(""1NZaPiVqFzCwlmUq8LagadmqPKSiT9llb2c3OuwvzV-4"",""PA 2021!m3"")"),"4º Trimestre")</f>
        <v>4º Trimestre</v>
      </c>
      <c r="N3" s="100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customFormat="false" ht="27.75" hidden="false" customHeight="true" outlineLevel="0" collapsed="false">
      <c r="A4" s="106" t="s">
        <v>85</v>
      </c>
      <c r="B4" s="107" t="n">
        <v>3</v>
      </c>
      <c r="C4" s="108" t="str">
        <f aca="false">CONCATENATE(A4,".",B4)</f>
        <v>PG 4.22.3</v>
      </c>
      <c r="D4" s="109" t="s">
        <v>89</v>
      </c>
      <c r="E4" s="155" t="s">
        <v>54</v>
      </c>
      <c r="F4" s="130" t="s">
        <v>90</v>
      </c>
      <c r="G4" s="131"/>
      <c r="H4" s="110" t="s">
        <v>90</v>
      </c>
      <c r="I4" s="132"/>
      <c r="J4" s="110"/>
      <c r="K4" s="156"/>
      <c r="L4" s="156"/>
      <c r="M4" s="157"/>
      <c r="N4" s="158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customFormat="false" ht="27.75" hidden="false" customHeight="true" outlineLevel="0" collapsed="false">
      <c r="A5" s="106" t="s">
        <v>85</v>
      </c>
      <c r="B5" s="116" t="n">
        <v>4</v>
      </c>
      <c r="C5" s="108" t="str">
        <f aca="false">CONCATENATE(A5,".",B5)</f>
        <v>PG 4.22.4</v>
      </c>
      <c r="D5" s="117" t="s">
        <v>91</v>
      </c>
      <c r="E5" s="122" t="s">
        <v>54</v>
      </c>
      <c r="F5" s="128"/>
      <c r="G5" s="118" t="s">
        <v>92</v>
      </c>
      <c r="H5" s="120"/>
      <c r="I5" s="126" t="s">
        <v>92</v>
      </c>
      <c r="J5" s="118"/>
      <c r="K5" s="124"/>
      <c r="L5" s="124"/>
      <c r="M5" s="159"/>
      <c r="N5" s="160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customFormat="false" ht="27.75" hidden="false" customHeight="true" outlineLevel="0" collapsed="false">
      <c r="A6" s="106"/>
      <c r="B6" s="116"/>
      <c r="C6" s="108"/>
      <c r="D6" s="117"/>
      <c r="E6" s="120"/>
      <c r="F6" s="119"/>
      <c r="G6" s="120"/>
      <c r="H6" s="120"/>
      <c r="I6" s="121"/>
      <c r="J6" s="120"/>
      <c r="K6" s="124"/>
      <c r="L6" s="124"/>
      <c r="M6" s="159"/>
      <c r="N6" s="160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customFormat="false" ht="27.75" hidden="false" customHeight="true" outlineLevel="0" collapsed="false">
      <c r="A7" s="106" t="s">
        <v>93</v>
      </c>
      <c r="B7" s="116" t="n">
        <v>2</v>
      </c>
      <c r="C7" s="108" t="str">
        <f aca="false">CONCATENATE(A7,".",B7)</f>
        <v>PG 4.7.2</v>
      </c>
      <c r="D7" s="117" t="s">
        <v>94</v>
      </c>
      <c r="E7" s="122" t="s">
        <v>54</v>
      </c>
      <c r="F7" s="128" t="s">
        <v>95</v>
      </c>
      <c r="G7" s="118" t="s">
        <v>95</v>
      </c>
      <c r="H7" s="118" t="s">
        <v>95</v>
      </c>
      <c r="I7" s="126" t="s">
        <v>95</v>
      </c>
      <c r="J7" s="120"/>
      <c r="K7" s="124"/>
      <c r="L7" s="124"/>
      <c r="M7" s="159"/>
      <c r="N7" s="160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customFormat="false" ht="27.75" hidden="false" customHeight="true" outlineLevel="0" collapsed="false">
      <c r="A8" s="106"/>
      <c r="B8" s="116"/>
      <c r="C8" s="108" t="str">
        <f aca="false">CONCATENATE(A8,".",B8)</f>
        <v>.</v>
      </c>
      <c r="D8" s="129"/>
      <c r="E8" s="120"/>
      <c r="F8" s="119"/>
      <c r="G8" s="120"/>
      <c r="H8" s="120"/>
      <c r="I8" s="121"/>
      <c r="J8" s="120"/>
      <c r="K8" s="124"/>
      <c r="L8" s="124"/>
      <c r="M8" s="159"/>
      <c r="N8" s="160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customFormat="false" ht="27.75" hidden="false" customHeight="true" outlineLevel="0" collapsed="false">
      <c r="A9" s="106" t="s">
        <v>97</v>
      </c>
      <c r="B9" s="116" t="n">
        <v>2</v>
      </c>
      <c r="C9" s="108" t="str">
        <f aca="false">CONCATENATE(A9,".",B9)</f>
        <v>PDI 2.2.2</v>
      </c>
      <c r="D9" s="117" t="s">
        <v>155</v>
      </c>
      <c r="E9" s="122" t="s">
        <v>54</v>
      </c>
      <c r="F9" s="128"/>
      <c r="G9" s="118"/>
      <c r="H9" s="118" t="s">
        <v>156</v>
      </c>
      <c r="I9" s="126"/>
      <c r="J9" s="120"/>
      <c r="K9" s="124"/>
      <c r="L9" s="124"/>
      <c r="M9" s="159"/>
      <c r="N9" s="160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customFormat="false" ht="27.75" hidden="false" customHeight="true" outlineLevel="0" collapsed="false">
      <c r="A10" s="106" t="s">
        <v>97</v>
      </c>
      <c r="B10" s="116" t="n">
        <v>3</v>
      </c>
      <c r="C10" s="108" t="str">
        <f aca="false">CONCATENATE(A10,".",B10)</f>
        <v>PDI 2.2.3</v>
      </c>
      <c r="D10" s="117" t="s">
        <v>157</v>
      </c>
      <c r="E10" s="118" t="s">
        <v>54</v>
      </c>
      <c r="F10" s="119"/>
      <c r="G10" s="120"/>
      <c r="H10" s="118" t="s">
        <v>158</v>
      </c>
      <c r="I10" s="121"/>
      <c r="J10" s="120"/>
      <c r="K10" s="124"/>
      <c r="L10" s="124"/>
      <c r="M10" s="159"/>
      <c r="N10" s="160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customFormat="false" ht="27.75" hidden="false" customHeight="true" outlineLevel="0" collapsed="false">
      <c r="A11" s="106" t="s">
        <v>97</v>
      </c>
      <c r="B11" s="116" t="n">
        <v>4</v>
      </c>
      <c r="C11" s="108" t="str">
        <f aca="false">CONCATENATE(A11,".",B11)</f>
        <v>PDI 2.2.4</v>
      </c>
      <c r="D11" s="117" t="s">
        <v>159</v>
      </c>
      <c r="E11" s="118" t="s">
        <v>54</v>
      </c>
      <c r="F11" s="133"/>
      <c r="G11" s="131"/>
      <c r="H11" s="131"/>
      <c r="I11" s="161" t="s">
        <v>160</v>
      </c>
      <c r="J11" s="120"/>
      <c r="K11" s="124"/>
      <c r="L11" s="124"/>
      <c r="M11" s="159"/>
      <c r="N11" s="160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customFormat="false" ht="27.75" hidden="false" customHeight="true" outlineLevel="0" collapsed="false">
      <c r="A12" s="106" t="s">
        <v>97</v>
      </c>
      <c r="B12" s="116" t="n">
        <v>5</v>
      </c>
      <c r="C12" s="108" t="str">
        <f aca="false">CONCATENATE(A12,".",B12)</f>
        <v>PDI 2.2.5</v>
      </c>
      <c r="D12" s="117" t="s">
        <v>161</v>
      </c>
      <c r="E12" s="122" t="s">
        <v>54</v>
      </c>
      <c r="F12" s="119"/>
      <c r="G12" s="120"/>
      <c r="H12" s="120"/>
      <c r="I12" s="126" t="s">
        <v>162</v>
      </c>
      <c r="J12" s="124"/>
      <c r="K12" s="124"/>
      <c r="L12" s="124"/>
      <c r="M12" s="159"/>
      <c r="N12" s="160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customFormat="false" ht="27.75" hidden="false" customHeight="true" outlineLevel="0" collapsed="false">
      <c r="A13" s="106"/>
      <c r="B13" s="127"/>
      <c r="C13" s="108" t="str">
        <f aca="false">CONCATENATE(A13,".",B13)</f>
        <v>.</v>
      </c>
      <c r="D13" s="117"/>
      <c r="E13" s="124"/>
      <c r="F13" s="119"/>
      <c r="G13" s="120"/>
      <c r="H13" s="120"/>
      <c r="I13" s="121"/>
      <c r="J13" s="124"/>
      <c r="K13" s="124"/>
      <c r="L13" s="124"/>
      <c r="M13" s="159"/>
      <c r="N13" s="160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customFormat="false" ht="27.75" hidden="false" customHeight="true" outlineLevel="0" collapsed="false">
      <c r="A14" s="106" t="s">
        <v>100</v>
      </c>
      <c r="B14" s="116" t="n">
        <v>2</v>
      </c>
      <c r="C14" s="108" t="str">
        <f aca="false">CONCATENATE(A14,".",B14)</f>
        <v>PDI 2.3.2</v>
      </c>
      <c r="D14" s="117" t="s">
        <v>101</v>
      </c>
      <c r="E14" s="122" t="s">
        <v>54</v>
      </c>
      <c r="F14" s="128" t="s">
        <v>102</v>
      </c>
      <c r="G14" s="120"/>
      <c r="H14" s="120"/>
      <c r="I14" s="121"/>
      <c r="J14" s="124"/>
      <c r="K14" s="124"/>
      <c r="L14" s="124"/>
      <c r="M14" s="159"/>
      <c r="N14" s="160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customFormat="false" ht="27.75" hidden="false" customHeight="true" outlineLevel="0" collapsed="false">
      <c r="A15" s="106"/>
      <c r="B15" s="127"/>
      <c r="C15" s="108" t="str">
        <f aca="false">CONCATENATE(A15,".",B15)</f>
        <v>.</v>
      </c>
      <c r="D15" s="117"/>
      <c r="E15" s="124"/>
      <c r="F15" s="119"/>
      <c r="G15" s="120"/>
      <c r="H15" s="120"/>
      <c r="I15" s="121"/>
      <c r="J15" s="124"/>
      <c r="K15" s="124"/>
      <c r="L15" s="124"/>
      <c r="M15" s="159"/>
      <c r="N15" s="160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customFormat="false" ht="27.75" hidden="false" customHeight="true" outlineLevel="0" collapsed="false">
      <c r="A16" s="106" t="s">
        <v>111</v>
      </c>
      <c r="B16" s="116" t="n">
        <v>1</v>
      </c>
      <c r="C16" s="108" t="str">
        <f aca="false">CONCATENATE(A16,".",B16)</f>
        <v>PDI 5.1.1</v>
      </c>
      <c r="D16" s="117" t="s">
        <v>163</v>
      </c>
      <c r="E16" s="122" t="s">
        <v>54</v>
      </c>
      <c r="F16" s="128" t="s">
        <v>164</v>
      </c>
      <c r="G16" s="118"/>
      <c r="H16" s="120"/>
      <c r="I16" s="121"/>
      <c r="J16" s="124"/>
      <c r="K16" s="124"/>
      <c r="L16" s="124"/>
      <c r="M16" s="159"/>
      <c r="N16" s="16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customFormat="false" ht="27.75" hidden="false" customHeight="true" outlineLevel="0" collapsed="false">
      <c r="A17" s="106" t="s">
        <v>111</v>
      </c>
      <c r="B17" s="116" t="n">
        <v>2</v>
      </c>
      <c r="C17" s="108" t="str">
        <f aca="false">CONCATENATE(A17,".",B17)</f>
        <v>PDI 5.1.2</v>
      </c>
      <c r="D17" s="117" t="s">
        <v>165</v>
      </c>
      <c r="E17" s="122" t="s">
        <v>54</v>
      </c>
      <c r="F17" s="119"/>
      <c r="G17" s="118" t="s">
        <v>166</v>
      </c>
      <c r="H17" s="120"/>
      <c r="I17" s="121"/>
      <c r="J17" s="124"/>
      <c r="K17" s="124"/>
      <c r="L17" s="124"/>
      <c r="M17" s="159"/>
      <c r="N17" s="160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customFormat="false" ht="27.75" hidden="false" customHeight="true" outlineLevel="0" collapsed="false">
      <c r="A18" s="106" t="s">
        <v>111</v>
      </c>
      <c r="B18" s="116" t="n">
        <v>3</v>
      </c>
      <c r="C18" s="108" t="str">
        <f aca="false">CONCATENATE(A18,".",B18)</f>
        <v>PDI 5.1.3</v>
      </c>
      <c r="D18" s="117" t="s">
        <v>167</v>
      </c>
      <c r="E18" s="122" t="s">
        <v>54</v>
      </c>
      <c r="F18" s="119"/>
      <c r="G18" s="118" t="s">
        <v>168</v>
      </c>
      <c r="H18" s="120"/>
      <c r="I18" s="121"/>
      <c r="J18" s="124"/>
      <c r="K18" s="124"/>
      <c r="L18" s="124"/>
      <c r="M18" s="159"/>
      <c r="N18" s="160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customFormat="false" ht="27.75" hidden="false" customHeight="true" outlineLevel="0" collapsed="false">
      <c r="A19" s="106" t="s">
        <v>111</v>
      </c>
      <c r="B19" s="116" t="n">
        <v>4</v>
      </c>
      <c r="C19" s="108" t="str">
        <f aca="false">CONCATENATE(A19,".",B19)</f>
        <v>PDI 5.1.4</v>
      </c>
      <c r="D19" s="117" t="s">
        <v>169</v>
      </c>
      <c r="E19" s="122" t="s">
        <v>54</v>
      </c>
      <c r="F19" s="119"/>
      <c r="G19" s="120"/>
      <c r="H19" s="118" t="s">
        <v>170</v>
      </c>
      <c r="I19" s="121"/>
      <c r="J19" s="124"/>
      <c r="K19" s="124"/>
      <c r="L19" s="124"/>
      <c r="M19" s="159"/>
      <c r="N19" s="160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customFormat="false" ht="27.75" hidden="false" customHeight="true" outlineLevel="0" collapsed="false">
      <c r="A20" s="106" t="s">
        <v>111</v>
      </c>
      <c r="B20" s="116" t="n">
        <v>5</v>
      </c>
      <c r="C20" s="108" t="str">
        <f aca="false">CONCATENATE(A20,".",B20)</f>
        <v>PDI 5.1.5</v>
      </c>
      <c r="D20" s="117" t="s">
        <v>171</v>
      </c>
      <c r="E20" s="122" t="s">
        <v>54</v>
      </c>
      <c r="F20" s="119"/>
      <c r="G20" s="120"/>
      <c r="H20" s="118" t="s">
        <v>172</v>
      </c>
      <c r="I20" s="121"/>
      <c r="J20" s="124"/>
      <c r="K20" s="124"/>
      <c r="L20" s="124"/>
      <c r="M20" s="159"/>
      <c r="N20" s="160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customFormat="false" ht="27.75" hidden="false" customHeight="true" outlineLevel="0" collapsed="false">
      <c r="A21" s="106"/>
      <c r="B21" s="127"/>
      <c r="C21" s="108" t="str">
        <f aca="false">CONCATENATE(A21,".",B21)</f>
        <v>.</v>
      </c>
      <c r="D21" s="129"/>
      <c r="E21" s="124"/>
      <c r="F21" s="119"/>
      <c r="G21" s="120"/>
      <c r="H21" s="120"/>
      <c r="I21" s="121"/>
      <c r="J21" s="124"/>
      <c r="K21" s="124"/>
      <c r="L21" s="124"/>
      <c r="M21" s="159"/>
      <c r="N21" s="160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customFormat="false" ht="27.75" hidden="false" customHeight="true" outlineLevel="0" collapsed="false">
      <c r="A22" s="106" t="s">
        <v>116</v>
      </c>
      <c r="B22" s="116" t="n">
        <v>1</v>
      </c>
      <c r="C22" s="108" t="str">
        <f aca="false">CONCATENATE(A22,".",B22)</f>
        <v>PG 1.1.1</v>
      </c>
      <c r="D22" s="117" t="s">
        <v>173</v>
      </c>
      <c r="E22" s="122" t="s">
        <v>54</v>
      </c>
      <c r="F22" s="128" t="s">
        <v>174</v>
      </c>
      <c r="G22" s="120"/>
      <c r="H22" s="120"/>
      <c r="I22" s="121"/>
      <c r="J22" s="124"/>
      <c r="K22" s="124"/>
      <c r="L22" s="124"/>
      <c r="M22" s="159"/>
      <c r="N22" s="160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customFormat="false" ht="27.75" hidden="false" customHeight="true" outlineLevel="0" collapsed="false">
      <c r="A23" s="106" t="s">
        <v>116</v>
      </c>
      <c r="B23" s="116" t="n">
        <v>2</v>
      </c>
      <c r="C23" s="108" t="str">
        <f aca="false">CONCATENATE(A23,".",B23)</f>
        <v>PG 1.1.2</v>
      </c>
      <c r="D23" s="117" t="s">
        <v>175</v>
      </c>
      <c r="E23" s="122" t="s">
        <v>54</v>
      </c>
      <c r="F23" s="119"/>
      <c r="G23" s="118" t="s">
        <v>176</v>
      </c>
      <c r="H23" s="120"/>
      <c r="I23" s="121"/>
      <c r="J23" s="124"/>
      <c r="K23" s="124"/>
      <c r="L23" s="124"/>
      <c r="M23" s="159"/>
      <c r="N23" s="160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customFormat="false" ht="27.75" hidden="false" customHeight="true" outlineLevel="0" collapsed="false">
      <c r="A24" s="106" t="s">
        <v>116</v>
      </c>
      <c r="B24" s="116" t="n">
        <v>3</v>
      </c>
      <c r="C24" s="108" t="str">
        <f aca="false">CONCATENATE(A24,".",B24)</f>
        <v>PG 1.1.3</v>
      </c>
      <c r="D24" s="117" t="s">
        <v>177</v>
      </c>
      <c r="E24" s="122" t="s">
        <v>54</v>
      </c>
      <c r="F24" s="119"/>
      <c r="G24" s="118" t="s">
        <v>178</v>
      </c>
      <c r="H24" s="120"/>
      <c r="I24" s="121"/>
      <c r="J24" s="124"/>
      <c r="K24" s="124"/>
      <c r="L24" s="124"/>
      <c r="M24" s="159"/>
      <c r="N24" s="160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customFormat="false" ht="27.75" hidden="false" customHeight="true" outlineLevel="0" collapsed="false">
      <c r="A25" s="106" t="s">
        <v>116</v>
      </c>
      <c r="B25" s="116" t="n">
        <v>4</v>
      </c>
      <c r="C25" s="108" t="str">
        <f aca="false">CONCATENATE(A25,".",B25)</f>
        <v>PG 1.1.4</v>
      </c>
      <c r="D25" s="117" t="s">
        <v>179</v>
      </c>
      <c r="E25" s="122" t="s">
        <v>54</v>
      </c>
      <c r="F25" s="119"/>
      <c r="G25" s="118" t="s">
        <v>180</v>
      </c>
      <c r="H25" s="120"/>
      <c r="I25" s="121"/>
      <c r="J25" s="124"/>
      <c r="K25" s="124"/>
      <c r="L25" s="124"/>
      <c r="M25" s="159"/>
      <c r="N25" s="160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customFormat="false" ht="27.75" hidden="false" customHeight="true" outlineLevel="0" collapsed="false">
      <c r="A26" s="106"/>
      <c r="B26" s="127"/>
      <c r="C26" s="108" t="str">
        <f aca="false">CONCATENATE(A26,".",B26)</f>
        <v>.</v>
      </c>
      <c r="D26" s="129"/>
      <c r="E26" s="124"/>
      <c r="F26" s="134"/>
      <c r="G26" s="135"/>
      <c r="H26" s="135"/>
      <c r="I26" s="136"/>
      <c r="J26" s="124"/>
      <c r="K26" s="124"/>
      <c r="L26" s="124"/>
      <c r="M26" s="159"/>
      <c r="N26" s="160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customFormat="false" ht="27.75" hidden="false" customHeight="true" outlineLevel="0" collapsed="false">
      <c r="A27" s="106" t="s">
        <v>119</v>
      </c>
      <c r="B27" s="116" t="n">
        <v>4</v>
      </c>
      <c r="C27" s="108" t="str">
        <f aca="false">CONCATENATE(A27,".",B27)</f>
        <v>PG 4.6.4</v>
      </c>
      <c r="D27" s="117" t="s">
        <v>120</v>
      </c>
      <c r="E27" s="122" t="s">
        <v>54</v>
      </c>
      <c r="F27" s="128" t="s">
        <v>121</v>
      </c>
      <c r="G27" s="118"/>
      <c r="H27" s="118" t="s">
        <v>121</v>
      </c>
      <c r="I27" s="121"/>
      <c r="J27" s="124"/>
      <c r="K27" s="124"/>
      <c r="L27" s="124"/>
      <c r="M27" s="159"/>
      <c r="N27" s="160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customFormat="false" ht="27.75" hidden="false" customHeight="true" outlineLevel="0" collapsed="false">
      <c r="A28" s="106" t="s">
        <v>119</v>
      </c>
      <c r="B28" s="116" t="n">
        <v>5</v>
      </c>
      <c r="C28" s="108" t="str">
        <f aca="false">CONCATENATE(A28,".",B28)</f>
        <v>PG 4.6.5</v>
      </c>
      <c r="D28" s="117" t="s">
        <v>123</v>
      </c>
      <c r="E28" s="122" t="s">
        <v>54</v>
      </c>
      <c r="F28" s="128" t="s">
        <v>45</v>
      </c>
      <c r="G28" s="120"/>
      <c r="H28" s="118" t="s">
        <v>45</v>
      </c>
      <c r="I28" s="121"/>
      <c r="J28" s="124"/>
      <c r="K28" s="124"/>
      <c r="L28" s="124"/>
      <c r="M28" s="159"/>
      <c r="N28" s="160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customFormat="false" ht="27.75" hidden="false" customHeight="true" outlineLevel="0" collapsed="false">
      <c r="A29" s="106" t="s">
        <v>119</v>
      </c>
      <c r="B29" s="116" t="n">
        <v>6</v>
      </c>
      <c r="C29" s="108" t="str">
        <f aca="false">CONCATENATE(A29,".",B29)</f>
        <v>PG 4.6.6</v>
      </c>
      <c r="D29" s="117" t="s">
        <v>124</v>
      </c>
      <c r="E29" s="122" t="s">
        <v>54</v>
      </c>
      <c r="F29" s="119"/>
      <c r="G29" s="118" t="s">
        <v>125</v>
      </c>
      <c r="H29" s="120"/>
      <c r="I29" s="126" t="s">
        <v>125</v>
      </c>
      <c r="J29" s="124"/>
      <c r="K29" s="124"/>
      <c r="L29" s="124"/>
      <c r="M29" s="159"/>
      <c r="N29" s="160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customFormat="false" ht="27.75" hidden="false" customHeight="true" outlineLevel="0" collapsed="false">
      <c r="A30" s="106"/>
      <c r="B30" s="127"/>
      <c r="C30" s="108" t="str">
        <f aca="false">CONCATENATE(A30,".",B30)</f>
        <v>.</v>
      </c>
      <c r="D30" s="129"/>
      <c r="E30" s="124"/>
      <c r="F30" s="133"/>
      <c r="G30" s="131"/>
      <c r="H30" s="131"/>
      <c r="I30" s="132"/>
      <c r="J30" s="124"/>
      <c r="K30" s="124"/>
      <c r="L30" s="124"/>
      <c r="M30" s="159"/>
      <c r="N30" s="160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customFormat="false" ht="27.75" hidden="false" customHeight="true" outlineLevel="0" collapsed="false">
      <c r="A31" s="106" t="s">
        <v>142</v>
      </c>
      <c r="B31" s="116" t="n">
        <v>6</v>
      </c>
      <c r="C31" s="108" t="str">
        <f aca="false">CONCATENATE(A31,".",B31)</f>
        <v>PG 4.33.6</v>
      </c>
      <c r="D31" s="117" t="s">
        <v>145</v>
      </c>
      <c r="E31" s="122" t="s">
        <v>54</v>
      </c>
      <c r="F31" s="119"/>
      <c r="G31" s="120"/>
      <c r="H31" s="118" t="s">
        <v>146</v>
      </c>
      <c r="I31" s="121"/>
      <c r="J31" s="124"/>
      <c r="K31" s="124"/>
      <c r="L31" s="124"/>
      <c r="M31" s="159"/>
      <c r="N31" s="160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customFormat="false" ht="27.75" hidden="false" customHeight="true" outlineLevel="0" collapsed="false">
      <c r="A32" s="106" t="s">
        <v>142</v>
      </c>
      <c r="B32" s="116" t="n">
        <v>7</v>
      </c>
      <c r="C32" s="137" t="str">
        <f aca="false">CONCATENATE(A32,".",B32)</f>
        <v>PG 4.33.7</v>
      </c>
      <c r="D32" s="117" t="s">
        <v>147</v>
      </c>
      <c r="E32" s="122" t="s">
        <v>54</v>
      </c>
      <c r="F32" s="119"/>
      <c r="G32" s="120"/>
      <c r="H32" s="118" t="s">
        <v>148</v>
      </c>
      <c r="I32" s="121"/>
      <c r="J32" s="124"/>
      <c r="K32" s="124"/>
      <c r="L32" s="124"/>
      <c r="M32" s="159"/>
      <c r="N32" s="160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customFormat="false" ht="27.75" hidden="false" customHeight="true" outlineLevel="0" collapsed="false">
      <c r="A33" s="106" t="s">
        <v>142</v>
      </c>
      <c r="B33" s="116" t="n">
        <v>8</v>
      </c>
      <c r="C33" s="137" t="str">
        <f aca="false">CONCATENATE(A33,".",B33)</f>
        <v>PG 4.33.8</v>
      </c>
      <c r="D33" s="117" t="s">
        <v>150</v>
      </c>
      <c r="E33" s="122" t="s">
        <v>54</v>
      </c>
      <c r="F33" s="119"/>
      <c r="G33" s="120"/>
      <c r="H33" s="120"/>
      <c r="I33" s="126" t="s">
        <v>151</v>
      </c>
      <c r="J33" s="124"/>
      <c r="K33" s="124"/>
      <c r="L33" s="124"/>
      <c r="M33" s="159"/>
      <c r="N33" s="160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customFormat="false" ht="27.75" hidden="false" customHeight="true" outlineLevel="0" collapsed="false">
      <c r="A34" s="106" t="s">
        <v>142</v>
      </c>
      <c r="B34" s="116" t="n">
        <v>9</v>
      </c>
      <c r="C34" s="137" t="str">
        <f aca="false">CONCATENATE(A34,".",B34)</f>
        <v>PG 4.33.9</v>
      </c>
      <c r="D34" s="117" t="s">
        <v>152</v>
      </c>
      <c r="E34" s="122" t="s">
        <v>54</v>
      </c>
      <c r="F34" s="128"/>
      <c r="G34" s="120"/>
      <c r="H34" s="118" t="s">
        <v>153</v>
      </c>
      <c r="I34" s="121"/>
      <c r="J34" s="124"/>
      <c r="K34" s="124"/>
      <c r="L34" s="124"/>
      <c r="M34" s="159"/>
      <c r="N34" s="160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customFormat="false" ht="27.75" hidden="false" customHeight="true" outlineLevel="0" collapsed="false">
      <c r="A35" s="106"/>
      <c r="B35" s="116"/>
      <c r="C35" s="108"/>
      <c r="D35" s="117"/>
      <c r="E35" s="124"/>
      <c r="F35" s="119"/>
      <c r="G35" s="120"/>
      <c r="H35" s="118"/>
      <c r="I35" s="121"/>
      <c r="J35" s="122"/>
      <c r="K35" s="122"/>
      <c r="L35" s="122"/>
      <c r="M35" s="159"/>
      <c r="N35" s="162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customFormat="false" ht="27.75" hidden="false" customHeight="true" outlineLevel="0" collapsed="false">
      <c r="A36" s="163" t="s">
        <v>111</v>
      </c>
      <c r="B36" s="122" t="n">
        <v>1</v>
      </c>
      <c r="C36" s="164" t="str">
        <f aca="false">CONCATENATE(A36,".",B36)</f>
        <v>PDI 5.1.1</v>
      </c>
      <c r="D36" s="165" t="s">
        <v>112</v>
      </c>
      <c r="E36" s="166" t="s">
        <v>54</v>
      </c>
      <c r="F36" s="167"/>
      <c r="G36" s="167"/>
      <c r="H36" s="167"/>
      <c r="I36" s="168"/>
      <c r="J36" s="169"/>
      <c r="K36" s="169"/>
      <c r="L36" s="169"/>
      <c r="M36" s="166"/>
      <c r="N36" s="170" t="s">
        <v>181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customFormat="false" ht="27.75" hidden="false" customHeight="true" outlineLevel="0" collapsed="false">
      <c r="A37" s="171"/>
      <c r="B37" s="172"/>
      <c r="C37" s="173" t="str">
        <f aca="false">CONCATENATE(A37,".",B37)</f>
        <v>.</v>
      </c>
      <c r="D37" s="172"/>
      <c r="E37" s="174"/>
      <c r="F37" s="175"/>
      <c r="G37" s="175"/>
      <c r="H37" s="175"/>
      <c r="I37" s="176"/>
      <c r="J37" s="177"/>
      <c r="K37" s="177"/>
      <c r="L37" s="177"/>
      <c r="M37" s="174"/>
      <c r="N37" s="178" t="s">
        <v>182</v>
      </c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customFormat="false" ht="27.75" hidden="false" customHeight="true" outlineLevel="0" collapsed="false">
      <c r="A38" s="106"/>
      <c r="B38" s="127"/>
      <c r="C38" s="108" t="str">
        <f aca="false">CONCATENATE(A38,".",B38)</f>
        <v>.</v>
      </c>
      <c r="D38" s="129"/>
      <c r="E38" s="124"/>
      <c r="F38" s="119"/>
      <c r="G38" s="120"/>
      <c r="H38" s="120"/>
      <c r="I38" s="121"/>
      <c r="J38" s="124"/>
      <c r="K38" s="124"/>
      <c r="L38" s="124"/>
      <c r="M38" s="159"/>
      <c r="N38" s="160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customFormat="false" ht="27.75" hidden="false" customHeight="true" outlineLevel="0" collapsed="false">
      <c r="A39" s="106"/>
      <c r="B39" s="127"/>
      <c r="C39" s="108" t="str">
        <f aca="false">CONCATENATE(A39,".",B39)</f>
        <v>.</v>
      </c>
      <c r="D39" s="129"/>
      <c r="E39" s="124"/>
      <c r="F39" s="119"/>
      <c r="G39" s="120"/>
      <c r="H39" s="120"/>
      <c r="I39" s="121"/>
      <c r="J39" s="124"/>
      <c r="K39" s="124"/>
      <c r="L39" s="124"/>
      <c r="M39" s="159"/>
      <c r="N39" s="160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customFormat="false" ht="27.75" hidden="false" customHeight="true" outlineLevel="0" collapsed="false">
      <c r="A40" s="106"/>
      <c r="B40" s="127"/>
      <c r="C40" s="108" t="str">
        <f aca="false">CONCATENATE(A40,".",B40)</f>
        <v>.</v>
      </c>
      <c r="D40" s="129"/>
      <c r="E40" s="124"/>
      <c r="F40" s="119"/>
      <c r="G40" s="120"/>
      <c r="H40" s="120"/>
      <c r="I40" s="121"/>
      <c r="J40" s="124"/>
      <c r="K40" s="124"/>
      <c r="L40" s="124"/>
      <c r="M40" s="159"/>
      <c r="N40" s="160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customFormat="false" ht="27.75" hidden="false" customHeight="true" outlineLevel="0" collapsed="false">
      <c r="A41" s="106"/>
      <c r="B41" s="127"/>
      <c r="C41" s="108" t="str">
        <f aca="false">CONCATENATE(A41,".",B41)</f>
        <v>.</v>
      </c>
      <c r="D41" s="129"/>
      <c r="E41" s="124"/>
      <c r="F41" s="119"/>
      <c r="G41" s="120"/>
      <c r="H41" s="120"/>
      <c r="I41" s="121"/>
      <c r="J41" s="124"/>
      <c r="K41" s="124"/>
      <c r="L41" s="124"/>
      <c r="M41" s="159"/>
      <c r="N41" s="160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customFormat="false" ht="27.75" hidden="false" customHeight="true" outlineLevel="0" collapsed="false">
      <c r="A42" s="106"/>
      <c r="B42" s="127"/>
      <c r="C42" s="108" t="str">
        <f aca="false">CONCATENATE(A42,".",B42)</f>
        <v>.</v>
      </c>
      <c r="D42" s="129"/>
      <c r="E42" s="124"/>
      <c r="F42" s="119"/>
      <c r="G42" s="120"/>
      <c r="H42" s="120"/>
      <c r="I42" s="121"/>
      <c r="J42" s="124"/>
      <c r="K42" s="124"/>
      <c r="L42" s="124"/>
      <c r="M42" s="159"/>
      <c r="N42" s="160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customFormat="false" ht="27.75" hidden="false" customHeight="true" outlineLevel="0" collapsed="false">
      <c r="A43" s="106"/>
      <c r="B43" s="127"/>
      <c r="C43" s="108" t="str">
        <f aca="false">CONCATENATE(A43,".",B43)</f>
        <v>.</v>
      </c>
      <c r="D43" s="129"/>
      <c r="E43" s="124"/>
      <c r="F43" s="119"/>
      <c r="G43" s="120"/>
      <c r="H43" s="120"/>
      <c r="I43" s="121"/>
      <c r="J43" s="124"/>
      <c r="K43" s="124"/>
      <c r="L43" s="124"/>
      <c r="M43" s="159"/>
      <c r="N43" s="160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customFormat="false" ht="27.75" hidden="false" customHeight="true" outlineLevel="0" collapsed="false">
      <c r="A44" s="106"/>
      <c r="B44" s="127"/>
      <c r="C44" s="108" t="str">
        <f aca="false">CONCATENATE(A44,".",B44)</f>
        <v>.</v>
      </c>
      <c r="D44" s="129"/>
      <c r="E44" s="124"/>
      <c r="F44" s="119"/>
      <c r="G44" s="120"/>
      <c r="H44" s="120"/>
      <c r="I44" s="121"/>
      <c r="J44" s="124"/>
      <c r="K44" s="124"/>
      <c r="L44" s="124"/>
      <c r="M44" s="159"/>
      <c r="N44" s="160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customFormat="false" ht="27.75" hidden="false" customHeight="true" outlineLevel="0" collapsed="false">
      <c r="A45" s="106"/>
      <c r="B45" s="127"/>
      <c r="C45" s="108" t="str">
        <f aca="false">CONCATENATE(A45,".",B45)</f>
        <v>.</v>
      </c>
      <c r="D45" s="129"/>
      <c r="E45" s="124"/>
      <c r="F45" s="119"/>
      <c r="G45" s="120"/>
      <c r="H45" s="120"/>
      <c r="I45" s="121"/>
      <c r="J45" s="124"/>
      <c r="K45" s="124"/>
      <c r="L45" s="124"/>
      <c r="M45" s="159"/>
      <c r="N45" s="160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customFormat="false" ht="27.75" hidden="false" customHeight="true" outlineLevel="0" collapsed="false">
      <c r="A46" s="106"/>
      <c r="B46" s="127"/>
      <c r="C46" s="108" t="str">
        <f aca="false">CONCATENATE(A46,".",B46)</f>
        <v>.</v>
      </c>
      <c r="D46" s="129"/>
      <c r="E46" s="124"/>
      <c r="F46" s="119"/>
      <c r="G46" s="120"/>
      <c r="H46" s="120"/>
      <c r="I46" s="121"/>
      <c r="J46" s="124"/>
      <c r="K46" s="124"/>
      <c r="L46" s="124"/>
      <c r="M46" s="159"/>
      <c r="N46" s="160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47" customFormat="false" ht="27.75" hidden="false" customHeight="true" outlineLevel="0" collapsed="false">
      <c r="A47" s="106"/>
      <c r="B47" s="127"/>
      <c r="C47" s="108" t="str">
        <f aca="false">CONCATENATE(A47,".",B47)</f>
        <v>.</v>
      </c>
      <c r="D47" s="129"/>
      <c r="E47" s="124"/>
      <c r="F47" s="119"/>
      <c r="G47" s="120"/>
      <c r="H47" s="120"/>
      <c r="I47" s="121"/>
      <c r="J47" s="124"/>
      <c r="K47" s="124"/>
      <c r="L47" s="124"/>
      <c r="M47" s="159"/>
      <c r="N47" s="160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customFormat="false" ht="27.75" hidden="false" customHeight="true" outlineLevel="0" collapsed="false">
      <c r="A48" s="106"/>
      <c r="B48" s="127"/>
      <c r="C48" s="108" t="str">
        <f aca="false">CONCATENATE(A48,".",B48)</f>
        <v>.</v>
      </c>
      <c r="D48" s="129"/>
      <c r="E48" s="124"/>
      <c r="F48" s="119"/>
      <c r="G48" s="120"/>
      <c r="H48" s="120"/>
      <c r="I48" s="121"/>
      <c r="J48" s="124"/>
      <c r="K48" s="124"/>
      <c r="L48" s="124"/>
      <c r="M48" s="159"/>
      <c r="N48" s="160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customFormat="false" ht="27.75" hidden="false" customHeight="true" outlineLevel="0" collapsed="false">
      <c r="A49" s="106"/>
      <c r="B49" s="127"/>
      <c r="C49" s="108" t="str">
        <f aca="false">CONCATENATE(A49,".",B49)</f>
        <v>.</v>
      </c>
      <c r="D49" s="129"/>
      <c r="E49" s="124"/>
      <c r="F49" s="119"/>
      <c r="G49" s="120"/>
      <c r="H49" s="120"/>
      <c r="I49" s="121"/>
      <c r="J49" s="124"/>
      <c r="K49" s="124"/>
      <c r="L49" s="124"/>
      <c r="M49" s="159"/>
      <c r="N49" s="160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</row>
    <row r="50" customFormat="false" ht="27.75" hidden="false" customHeight="true" outlineLevel="0" collapsed="false">
      <c r="A50" s="106"/>
      <c r="B50" s="127"/>
      <c r="C50" s="137" t="str">
        <f aca="false">CONCATENATE(A50,".",B50)</f>
        <v>.</v>
      </c>
      <c r="D50" s="129"/>
      <c r="E50" s="124"/>
      <c r="F50" s="119"/>
      <c r="G50" s="120"/>
      <c r="H50" s="120"/>
      <c r="I50" s="121"/>
      <c r="J50" s="124"/>
      <c r="K50" s="124"/>
      <c r="L50" s="124"/>
      <c r="M50" s="124"/>
      <c r="N50" s="123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</row>
    <row r="51" customFormat="false" ht="27.75" hidden="false" customHeight="true" outlineLevel="0" collapsed="false">
      <c r="A51" s="106"/>
      <c r="B51" s="127"/>
      <c r="C51" s="137" t="str">
        <f aca="false">CONCATENATE(A51,".",B51)</f>
        <v>.</v>
      </c>
      <c r="D51" s="129"/>
      <c r="E51" s="124"/>
      <c r="F51" s="119"/>
      <c r="G51" s="120"/>
      <c r="H51" s="120"/>
      <c r="I51" s="121"/>
      <c r="J51" s="124"/>
      <c r="K51" s="124"/>
      <c r="L51" s="124"/>
      <c r="M51" s="124"/>
      <c r="N51" s="123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customFormat="false" ht="27.75" hidden="false" customHeight="true" outlineLevel="0" collapsed="false">
      <c r="A52" s="106"/>
      <c r="B52" s="127"/>
      <c r="C52" s="137" t="str">
        <f aca="false">CONCATENATE(A52,".",B52)</f>
        <v>.</v>
      </c>
      <c r="D52" s="129"/>
      <c r="E52" s="124"/>
      <c r="F52" s="119"/>
      <c r="G52" s="120"/>
      <c r="H52" s="120"/>
      <c r="I52" s="121"/>
      <c r="J52" s="124"/>
      <c r="K52" s="124"/>
      <c r="L52" s="124"/>
      <c r="M52" s="124"/>
      <c r="N52" s="123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customFormat="false" ht="27.75" hidden="false" customHeight="true" outlineLevel="0" collapsed="false">
      <c r="A53" s="106"/>
      <c r="B53" s="127"/>
      <c r="C53" s="137" t="str">
        <f aca="false">CONCATENATE(A53,".",B53)</f>
        <v>.</v>
      </c>
      <c r="D53" s="129"/>
      <c r="E53" s="124"/>
      <c r="F53" s="119"/>
      <c r="G53" s="120"/>
      <c r="H53" s="120"/>
      <c r="I53" s="121"/>
      <c r="J53" s="124"/>
      <c r="K53" s="124"/>
      <c r="L53" s="124"/>
      <c r="M53" s="124"/>
      <c r="N53" s="12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</row>
    <row r="54" customFormat="false" ht="27.75" hidden="false" customHeight="true" outlineLevel="0" collapsed="false">
      <c r="A54" s="106"/>
      <c r="B54" s="127"/>
      <c r="C54" s="137" t="str">
        <f aca="false">CONCATENATE(A54,".",B54)</f>
        <v>.</v>
      </c>
      <c r="D54" s="129"/>
      <c r="E54" s="124"/>
      <c r="F54" s="119"/>
      <c r="G54" s="120"/>
      <c r="H54" s="120"/>
      <c r="I54" s="121"/>
      <c r="J54" s="124"/>
      <c r="K54" s="124"/>
      <c r="L54" s="124"/>
      <c r="M54" s="124"/>
      <c r="N54" s="123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customFormat="false" ht="27.75" hidden="false" customHeight="true" outlineLevel="0" collapsed="false">
      <c r="A55" s="106"/>
      <c r="B55" s="127"/>
      <c r="C55" s="137" t="str">
        <f aca="false">CONCATENATE(A55,".",B55)</f>
        <v>.</v>
      </c>
      <c r="D55" s="129"/>
      <c r="E55" s="124"/>
      <c r="F55" s="119"/>
      <c r="G55" s="120"/>
      <c r="H55" s="120"/>
      <c r="I55" s="121"/>
      <c r="J55" s="124"/>
      <c r="K55" s="124"/>
      <c r="L55" s="124"/>
      <c r="M55" s="124"/>
      <c r="N55" s="123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customFormat="false" ht="27.75" hidden="false" customHeight="true" outlineLevel="0" collapsed="false">
      <c r="A56" s="106"/>
      <c r="B56" s="127"/>
      <c r="C56" s="137" t="str">
        <f aca="false">CONCATENATE(A56,".",B56)</f>
        <v>.</v>
      </c>
      <c r="D56" s="129"/>
      <c r="E56" s="124"/>
      <c r="F56" s="119"/>
      <c r="G56" s="120"/>
      <c r="H56" s="120"/>
      <c r="I56" s="121"/>
      <c r="J56" s="124"/>
      <c r="K56" s="124"/>
      <c r="L56" s="124"/>
      <c r="M56" s="124"/>
      <c r="N56" s="123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customFormat="false" ht="27.75" hidden="false" customHeight="true" outlineLevel="0" collapsed="false">
      <c r="A57" s="106"/>
      <c r="B57" s="127"/>
      <c r="C57" s="137" t="str">
        <f aca="false">CONCATENATE(A57,".",B57)</f>
        <v>.</v>
      </c>
      <c r="D57" s="129"/>
      <c r="E57" s="124"/>
      <c r="F57" s="119"/>
      <c r="G57" s="120"/>
      <c r="H57" s="120"/>
      <c r="I57" s="121"/>
      <c r="J57" s="124"/>
      <c r="K57" s="124"/>
      <c r="L57" s="124"/>
      <c r="M57" s="124"/>
      <c r="N57" s="123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customFormat="false" ht="27.75" hidden="false" customHeight="true" outlineLevel="0" collapsed="false">
      <c r="A58" s="106"/>
      <c r="B58" s="127"/>
      <c r="C58" s="137" t="str">
        <f aca="false">CONCATENATE(A58,".",B58)</f>
        <v>.</v>
      </c>
      <c r="D58" s="129"/>
      <c r="E58" s="124"/>
      <c r="F58" s="119"/>
      <c r="G58" s="120"/>
      <c r="H58" s="120"/>
      <c r="I58" s="121"/>
      <c r="J58" s="124"/>
      <c r="K58" s="124"/>
      <c r="L58" s="124"/>
      <c r="M58" s="124"/>
      <c r="N58" s="123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customFormat="false" ht="27.75" hidden="false" customHeight="true" outlineLevel="0" collapsed="false">
      <c r="A59" s="106"/>
      <c r="B59" s="127"/>
      <c r="C59" s="137" t="str">
        <f aca="false">CONCATENATE(A59,".",B59)</f>
        <v>.</v>
      </c>
      <c r="D59" s="129"/>
      <c r="E59" s="124"/>
      <c r="F59" s="119"/>
      <c r="G59" s="120"/>
      <c r="H59" s="120"/>
      <c r="I59" s="121"/>
      <c r="J59" s="124"/>
      <c r="K59" s="124"/>
      <c r="L59" s="124"/>
      <c r="M59" s="124"/>
      <c r="N59" s="123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customFormat="false" ht="27.75" hidden="false" customHeight="true" outlineLevel="0" collapsed="false">
      <c r="A60" s="106"/>
      <c r="B60" s="127"/>
      <c r="C60" s="137" t="str">
        <f aca="false">CONCATENATE(A60,".",B60)</f>
        <v>.</v>
      </c>
      <c r="D60" s="129"/>
      <c r="E60" s="124"/>
      <c r="F60" s="119"/>
      <c r="G60" s="120"/>
      <c r="H60" s="120"/>
      <c r="I60" s="121"/>
      <c r="J60" s="124"/>
      <c r="K60" s="124"/>
      <c r="L60" s="124"/>
      <c r="M60" s="124"/>
      <c r="N60" s="123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customFormat="false" ht="27.75" hidden="false" customHeight="true" outlineLevel="0" collapsed="false">
      <c r="A61" s="106"/>
      <c r="B61" s="127"/>
      <c r="C61" s="137" t="str">
        <f aca="false">CONCATENATE(A61,".",B61)</f>
        <v>.</v>
      </c>
      <c r="D61" s="129"/>
      <c r="E61" s="124"/>
      <c r="F61" s="119"/>
      <c r="G61" s="120"/>
      <c r="H61" s="120"/>
      <c r="I61" s="121"/>
      <c r="J61" s="124"/>
      <c r="K61" s="124"/>
      <c r="L61" s="124"/>
      <c r="M61" s="124"/>
      <c r="N61" s="123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customFormat="false" ht="27.75" hidden="false" customHeight="true" outlineLevel="0" collapsed="false">
      <c r="A62" s="106"/>
      <c r="B62" s="127"/>
      <c r="C62" s="137" t="str">
        <f aca="false">CONCATENATE(A62,".",B62)</f>
        <v>.</v>
      </c>
      <c r="D62" s="129"/>
      <c r="E62" s="124"/>
      <c r="F62" s="119"/>
      <c r="G62" s="120"/>
      <c r="H62" s="120"/>
      <c r="I62" s="121"/>
      <c r="J62" s="124"/>
      <c r="K62" s="124"/>
      <c r="L62" s="124"/>
      <c r="M62" s="124"/>
      <c r="N62" s="12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</row>
    <row r="63" customFormat="false" ht="27.75" hidden="false" customHeight="true" outlineLevel="0" collapsed="false">
      <c r="A63" s="106"/>
      <c r="B63" s="127"/>
      <c r="C63" s="137" t="str">
        <f aca="false">CONCATENATE(A63,".",B63)</f>
        <v>.</v>
      </c>
      <c r="D63" s="129"/>
      <c r="E63" s="124"/>
      <c r="F63" s="119"/>
      <c r="G63" s="120"/>
      <c r="H63" s="120"/>
      <c r="I63" s="121"/>
      <c r="J63" s="124"/>
      <c r="K63" s="124"/>
      <c r="L63" s="124"/>
      <c r="M63" s="124"/>
      <c r="N63" s="123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</row>
    <row r="64" customFormat="false" ht="27.75" hidden="false" customHeight="true" outlineLevel="0" collapsed="false">
      <c r="A64" s="106"/>
      <c r="B64" s="127"/>
      <c r="C64" s="137" t="str">
        <f aca="false">CONCATENATE(A64,".",B64)</f>
        <v>.</v>
      </c>
      <c r="D64" s="129"/>
      <c r="E64" s="124"/>
      <c r="F64" s="119"/>
      <c r="G64" s="120"/>
      <c r="H64" s="120"/>
      <c r="I64" s="121"/>
      <c r="J64" s="124"/>
      <c r="K64" s="124"/>
      <c r="L64" s="124"/>
      <c r="M64" s="124"/>
      <c r="N64" s="123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</row>
    <row r="65" customFormat="false" ht="27.75" hidden="false" customHeight="true" outlineLevel="0" collapsed="false">
      <c r="A65" s="106"/>
      <c r="B65" s="127"/>
      <c r="C65" s="137" t="str">
        <f aca="false">CONCATENATE(A65,".",B65)</f>
        <v>.</v>
      </c>
      <c r="D65" s="129"/>
      <c r="E65" s="124"/>
      <c r="F65" s="119"/>
      <c r="G65" s="120"/>
      <c r="H65" s="120"/>
      <c r="I65" s="121"/>
      <c r="J65" s="124"/>
      <c r="K65" s="124"/>
      <c r="L65" s="124"/>
      <c r="M65" s="124"/>
      <c r="N65" s="123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</row>
    <row r="66" customFormat="false" ht="27.75" hidden="false" customHeight="true" outlineLevel="0" collapsed="false">
      <c r="A66" s="106"/>
      <c r="B66" s="127"/>
      <c r="C66" s="137" t="str">
        <f aca="false">CONCATENATE(A66,".",B66)</f>
        <v>.</v>
      </c>
      <c r="D66" s="129"/>
      <c r="E66" s="124"/>
      <c r="F66" s="119"/>
      <c r="G66" s="120"/>
      <c r="H66" s="120"/>
      <c r="I66" s="121"/>
      <c r="J66" s="124"/>
      <c r="K66" s="124"/>
      <c r="L66" s="124"/>
      <c r="M66" s="124"/>
      <c r="N66" s="12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</row>
    <row r="67" customFormat="false" ht="27.75" hidden="false" customHeight="true" outlineLevel="0" collapsed="false">
      <c r="A67" s="106"/>
      <c r="B67" s="127"/>
      <c r="C67" s="137" t="str">
        <f aca="false">CONCATENATE(A67,".",B67)</f>
        <v>.</v>
      </c>
      <c r="D67" s="129"/>
      <c r="E67" s="124"/>
      <c r="F67" s="119"/>
      <c r="G67" s="120"/>
      <c r="H67" s="120"/>
      <c r="I67" s="121"/>
      <c r="J67" s="124"/>
      <c r="K67" s="124"/>
      <c r="L67" s="124"/>
      <c r="M67" s="124"/>
      <c r="N67" s="12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customFormat="false" ht="27.75" hidden="false" customHeight="true" outlineLevel="0" collapsed="false">
      <c r="A68" s="106"/>
      <c r="B68" s="127"/>
      <c r="C68" s="137" t="str">
        <f aca="false">CONCATENATE(A68,".",B68)</f>
        <v>.</v>
      </c>
      <c r="D68" s="129"/>
      <c r="E68" s="124"/>
      <c r="F68" s="119"/>
      <c r="G68" s="120"/>
      <c r="H68" s="120"/>
      <c r="I68" s="121"/>
      <c r="J68" s="124"/>
      <c r="K68" s="124"/>
      <c r="L68" s="124"/>
      <c r="M68" s="124"/>
      <c r="N68" s="12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customFormat="false" ht="27.75" hidden="false" customHeight="true" outlineLevel="0" collapsed="false">
      <c r="A69" s="106"/>
      <c r="B69" s="127"/>
      <c r="C69" s="137" t="str">
        <f aca="false">CONCATENATE(A69,".",B69)</f>
        <v>.</v>
      </c>
      <c r="D69" s="129"/>
      <c r="E69" s="124"/>
      <c r="F69" s="119"/>
      <c r="G69" s="120"/>
      <c r="H69" s="120"/>
      <c r="I69" s="121"/>
      <c r="J69" s="124"/>
      <c r="K69" s="124"/>
      <c r="L69" s="124"/>
      <c r="M69" s="124"/>
      <c r="N69" s="123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customFormat="false" ht="27.75" hidden="false" customHeight="true" outlineLevel="0" collapsed="false">
      <c r="A70" s="106"/>
      <c r="B70" s="127"/>
      <c r="C70" s="137" t="str">
        <f aca="false">CONCATENATE(A70,".",B70)</f>
        <v>.</v>
      </c>
      <c r="D70" s="129"/>
      <c r="E70" s="124"/>
      <c r="F70" s="119"/>
      <c r="G70" s="120"/>
      <c r="H70" s="120"/>
      <c r="I70" s="121"/>
      <c r="J70" s="124"/>
      <c r="K70" s="124"/>
      <c r="L70" s="124"/>
      <c r="M70" s="124"/>
      <c r="N70" s="12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customFormat="false" ht="27.75" hidden="false" customHeight="true" outlineLevel="0" collapsed="false">
      <c r="A71" s="106"/>
      <c r="B71" s="127"/>
      <c r="C71" s="137" t="str">
        <f aca="false">CONCATENATE(A71,".",B71)</f>
        <v>.</v>
      </c>
      <c r="D71" s="129"/>
      <c r="E71" s="124"/>
      <c r="F71" s="119"/>
      <c r="G71" s="120"/>
      <c r="H71" s="120"/>
      <c r="I71" s="121"/>
      <c r="J71" s="124"/>
      <c r="K71" s="124"/>
      <c r="L71" s="124"/>
      <c r="M71" s="124"/>
      <c r="N71" s="123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customFormat="false" ht="27.75" hidden="false" customHeight="true" outlineLevel="0" collapsed="false">
      <c r="A72" s="106"/>
      <c r="B72" s="127"/>
      <c r="C72" s="137" t="str">
        <f aca="false">CONCATENATE(A72,".",B72)</f>
        <v>.</v>
      </c>
      <c r="D72" s="129"/>
      <c r="E72" s="124"/>
      <c r="F72" s="119"/>
      <c r="G72" s="120"/>
      <c r="H72" s="120"/>
      <c r="I72" s="121"/>
      <c r="J72" s="124"/>
      <c r="K72" s="124"/>
      <c r="L72" s="124"/>
      <c r="M72" s="124"/>
      <c r="N72" s="123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customFormat="false" ht="27.75" hidden="false" customHeight="true" outlineLevel="0" collapsed="false">
      <c r="A73" s="106"/>
      <c r="B73" s="127"/>
      <c r="C73" s="137" t="str">
        <f aca="false">CONCATENATE(A73,".",B73)</f>
        <v>.</v>
      </c>
      <c r="D73" s="129"/>
      <c r="E73" s="124"/>
      <c r="F73" s="119"/>
      <c r="G73" s="120"/>
      <c r="H73" s="120"/>
      <c r="I73" s="121"/>
      <c r="J73" s="124"/>
      <c r="K73" s="124"/>
      <c r="L73" s="124"/>
      <c r="M73" s="124"/>
      <c r="N73" s="123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customFormat="false" ht="27.75" hidden="false" customHeight="true" outlineLevel="0" collapsed="false">
      <c r="A74" s="106"/>
      <c r="B74" s="127"/>
      <c r="C74" s="137" t="str">
        <f aca="false">CONCATENATE(A74,".",B74)</f>
        <v>.</v>
      </c>
      <c r="D74" s="129"/>
      <c r="E74" s="124"/>
      <c r="F74" s="119"/>
      <c r="G74" s="120"/>
      <c r="H74" s="120"/>
      <c r="I74" s="121"/>
      <c r="J74" s="124"/>
      <c r="K74" s="124"/>
      <c r="L74" s="124"/>
      <c r="M74" s="124"/>
      <c r="N74" s="123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customFormat="false" ht="27.75" hidden="false" customHeight="true" outlineLevel="0" collapsed="false">
      <c r="A75" s="106"/>
      <c r="B75" s="127"/>
      <c r="C75" s="137" t="str">
        <f aca="false">CONCATENATE(A75,".",B75)</f>
        <v>.</v>
      </c>
      <c r="D75" s="129"/>
      <c r="E75" s="124"/>
      <c r="F75" s="119"/>
      <c r="G75" s="120"/>
      <c r="H75" s="120"/>
      <c r="I75" s="121"/>
      <c r="J75" s="124"/>
      <c r="K75" s="124"/>
      <c r="L75" s="124"/>
      <c r="M75" s="124"/>
      <c r="N75" s="123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customFormat="false" ht="27.75" hidden="false" customHeight="true" outlineLevel="0" collapsed="false">
      <c r="A76" s="106"/>
      <c r="B76" s="127"/>
      <c r="C76" s="137" t="str">
        <f aca="false">CONCATENATE(A76,".",B76)</f>
        <v>.</v>
      </c>
      <c r="D76" s="129"/>
      <c r="E76" s="124"/>
      <c r="F76" s="119"/>
      <c r="G76" s="120"/>
      <c r="H76" s="120"/>
      <c r="I76" s="121"/>
      <c r="J76" s="124"/>
      <c r="K76" s="124"/>
      <c r="L76" s="124"/>
      <c r="M76" s="124"/>
      <c r="N76" s="123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customFormat="false" ht="27.75" hidden="false" customHeight="true" outlineLevel="0" collapsed="false">
      <c r="A77" s="106"/>
      <c r="B77" s="127"/>
      <c r="C77" s="137" t="str">
        <f aca="false">CONCATENATE(A77,".",B77)</f>
        <v>.</v>
      </c>
      <c r="D77" s="129"/>
      <c r="E77" s="124"/>
      <c r="F77" s="119"/>
      <c r="G77" s="120"/>
      <c r="H77" s="120"/>
      <c r="I77" s="121"/>
      <c r="J77" s="124"/>
      <c r="K77" s="124"/>
      <c r="L77" s="124"/>
      <c r="M77" s="124"/>
      <c r="N77" s="123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customFormat="false" ht="27.75" hidden="false" customHeight="true" outlineLevel="0" collapsed="false">
      <c r="A78" s="106"/>
      <c r="B78" s="127"/>
      <c r="C78" s="137" t="str">
        <f aca="false">CONCATENATE(A78,".",B78)</f>
        <v>.</v>
      </c>
      <c r="D78" s="129"/>
      <c r="E78" s="124"/>
      <c r="F78" s="119"/>
      <c r="G78" s="120"/>
      <c r="H78" s="120"/>
      <c r="I78" s="121"/>
      <c r="J78" s="124"/>
      <c r="K78" s="124"/>
      <c r="L78" s="124"/>
      <c r="M78" s="124"/>
      <c r="N78" s="123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customFormat="false" ht="27.75" hidden="false" customHeight="true" outlineLevel="0" collapsed="false">
      <c r="A79" s="106"/>
      <c r="B79" s="127"/>
      <c r="C79" s="137" t="str">
        <f aca="false">CONCATENATE(A79,".",B79)</f>
        <v>.</v>
      </c>
      <c r="D79" s="129"/>
      <c r="E79" s="124"/>
      <c r="F79" s="119"/>
      <c r="G79" s="120"/>
      <c r="H79" s="120"/>
      <c r="I79" s="121"/>
      <c r="J79" s="124"/>
      <c r="K79" s="124"/>
      <c r="L79" s="124"/>
      <c r="M79" s="124"/>
      <c r="N79" s="123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customFormat="false" ht="27.75" hidden="false" customHeight="true" outlineLevel="0" collapsed="false">
      <c r="A80" s="106"/>
      <c r="B80" s="127"/>
      <c r="C80" s="137" t="str">
        <f aca="false">CONCATENATE(A80,".",B80)</f>
        <v>.</v>
      </c>
      <c r="D80" s="129"/>
      <c r="E80" s="124"/>
      <c r="F80" s="119"/>
      <c r="G80" s="120"/>
      <c r="H80" s="120"/>
      <c r="I80" s="121"/>
      <c r="J80" s="124"/>
      <c r="K80" s="124"/>
      <c r="L80" s="124"/>
      <c r="M80" s="124"/>
      <c r="N80" s="123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customFormat="false" ht="27.75" hidden="false" customHeight="true" outlineLevel="0" collapsed="false">
      <c r="A81" s="106"/>
      <c r="B81" s="127"/>
      <c r="C81" s="137" t="str">
        <f aca="false">CONCATENATE(A81,".",B81)</f>
        <v>.</v>
      </c>
      <c r="D81" s="129"/>
      <c r="E81" s="124"/>
      <c r="F81" s="119"/>
      <c r="G81" s="120"/>
      <c r="H81" s="120"/>
      <c r="I81" s="121"/>
      <c r="J81" s="124"/>
      <c r="K81" s="124"/>
      <c r="L81" s="124"/>
      <c r="M81" s="124"/>
      <c r="N81" s="123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customFormat="false" ht="27.75" hidden="false" customHeight="true" outlineLevel="0" collapsed="false">
      <c r="A82" s="106"/>
      <c r="B82" s="127"/>
      <c r="C82" s="137" t="str">
        <f aca="false">CONCATENATE(A82,".",B82)</f>
        <v>.</v>
      </c>
      <c r="D82" s="129"/>
      <c r="E82" s="124"/>
      <c r="F82" s="119"/>
      <c r="G82" s="120"/>
      <c r="H82" s="120"/>
      <c r="I82" s="121"/>
      <c r="J82" s="124"/>
      <c r="K82" s="124"/>
      <c r="L82" s="124"/>
      <c r="M82" s="124"/>
      <c r="N82" s="123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customFormat="false" ht="27.75" hidden="false" customHeight="true" outlineLevel="0" collapsed="false">
      <c r="A83" s="106"/>
      <c r="B83" s="127"/>
      <c r="C83" s="137" t="str">
        <f aca="false">CONCATENATE(A83,".",B83)</f>
        <v>.</v>
      </c>
      <c r="D83" s="129"/>
      <c r="E83" s="124"/>
      <c r="F83" s="119"/>
      <c r="G83" s="120"/>
      <c r="H83" s="120"/>
      <c r="I83" s="121"/>
      <c r="J83" s="124"/>
      <c r="K83" s="124"/>
      <c r="L83" s="124"/>
      <c r="M83" s="124"/>
      <c r="N83" s="123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customFormat="false" ht="27.75" hidden="false" customHeight="true" outlineLevel="0" collapsed="false">
      <c r="A84" s="106"/>
      <c r="B84" s="127"/>
      <c r="C84" s="137" t="str">
        <f aca="false">CONCATENATE(A84,".",B84)</f>
        <v>.</v>
      </c>
      <c r="D84" s="129"/>
      <c r="E84" s="124"/>
      <c r="F84" s="119"/>
      <c r="G84" s="120"/>
      <c r="H84" s="120"/>
      <c r="I84" s="121"/>
      <c r="J84" s="124"/>
      <c r="K84" s="124"/>
      <c r="L84" s="124"/>
      <c r="M84" s="124"/>
      <c r="N84" s="123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customFormat="false" ht="27.75" hidden="false" customHeight="true" outlineLevel="0" collapsed="false">
      <c r="A85" s="106"/>
      <c r="B85" s="127"/>
      <c r="C85" s="137" t="str">
        <f aca="false">CONCATENATE(A85,".",B85)</f>
        <v>.</v>
      </c>
      <c r="D85" s="129"/>
      <c r="E85" s="124"/>
      <c r="F85" s="119"/>
      <c r="G85" s="120"/>
      <c r="H85" s="120"/>
      <c r="I85" s="121"/>
      <c r="J85" s="124"/>
      <c r="K85" s="124"/>
      <c r="L85" s="124"/>
      <c r="M85" s="124"/>
      <c r="N85" s="123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customFormat="false" ht="27.75" hidden="false" customHeight="true" outlineLevel="0" collapsed="false">
      <c r="A86" s="106"/>
      <c r="B86" s="127"/>
      <c r="C86" s="137" t="str">
        <f aca="false">CONCATENATE(A86,".",B86)</f>
        <v>.</v>
      </c>
      <c r="D86" s="129"/>
      <c r="E86" s="124"/>
      <c r="F86" s="119"/>
      <c r="G86" s="120"/>
      <c r="H86" s="120"/>
      <c r="I86" s="121"/>
      <c r="J86" s="124"/>
      <c r="K86" s="124"/>
      <c r="L86" s="124"/>
      <c r="M86" s="124"/>
      <c r="N86" s="123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customFormat="false" ht="27.75" hidden="false" customHeight="true" outlineLevel="0" collapsed="false">
      <c r="A87" s="106"/>
      <c r="B87" s="127"/>
      <c r="C87" s="137" t="str">
        <f aca="false">CONCATENATE(A87,".",B87)</f>
        <v>.</v>
      </c>
      <c r="D87" s="129"/>
      <c r="E87" s="124"/>
      <c r="F87" s="119"/>
      <c r="G87" s="120"/>
      <c r="H87" s="120"/>
      <c r="I87" s="121"/>
      <c r="J87" s="124"/>
      <c r="K87" s="124"/>
      <c r="L87" s="124"/>
      <c r="M87" s="124"/>
      <c r="N87" s="123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customFormat="false" ht="27.75" hidden="false" customHeight="true" outlineLevel="0" collapsed="false">
      <c r="A88" s="106"/>
      <c r="B88" s="127"/>
      <c r="C88" s="137" t="str">
        <f aca="false">CONCATENATE(A88,".",B88)</f>
        <v>.</v>
      </c>
      <c r="D88" s="129"/>
      <c r="E88" s="124"/>
      <c r="F88" s="119"/>
      <c r="G88" s="120"/>
      <c r="H88" s="120"/>
      <c r="I88" s="121"/>
      <c r="J88" s="124"/>
      <c r="K88" s="124"/>
      <c r="L88" s="124"/>
      <c r="M88" s="124"/>
      <c r="N88" s="123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customFormat="false" ht="27.75" hidden="false" customHeight="true" outlineLevel="0" collapsed="false">
      <c r="A89" s="106"/>
      <c r="B89" s="127"/>
      <c r="C89" s="137" t="str">
        <f aca="false">CONCATENATE(A89,".",B89)</f>
        <v>.</v>
      </c>
      <c r="D89" s="129"/>
      <c r="E89" s="124"/>
      <c r="F89" s="119"/>
      <c r="G89" s="120"/>
      <c r="H89" s="120"/>
      <c r="I89" s="121"/>
      <c r="J89" s="124"/>
      <c r="K89" s="124"/>
      <c r="L89" s="124"/>
      <c r="M89" s="124"/>
      <c r="N89" s="123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customFormat="false" ht="27.75" hidden="false" customHeight="true" outlineLevel="0" collapsed="false">
      <c r="A90" s="106"/>
      <c r="B90" s="127"/>
      <c r="C90" s="137" t="str">
        <f aca="false">CONCATENATE(A90,".",B90)</f>
        <v>.</v>
      </c>
      <c r="D90" s="129"/>
      <c r="E90" s="124"/>
      <c r="F90" s="119"/>
      <c r="G90" s="120"/>
      <c r="H90" s="120"/>
      <c r="I90" s="121"/>
      <c r="J90" s="124"/>
      <c r="K90" s="124"/>
      <c r="L90" s="124"/>
      <c r="M90" s="124"/>
      <c r="N90" s="123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</row>
    <row r="91" customFormat="false" ht="27.75" hidden="false" customHeight="true" outlineLevel="0" collapsed="false">
      <c r="A91" s="106"/>
      <c r="B91" s="127"/>
      <c r="C91" s="137" t="str">
        <f aca="false">CONCATENATE(A91,".",B91)</f>
        <v>.</v>
      </c>
      <c r="D91" s="129"/>
      <c r="E91" s="124"/>
      <c r="F91" s="119"/>
      <c r="G91" s="120"/>
      <c r="H91" s="120"/>
      <c r="I91" s="121"/>
      <c r="J91" s="124"/>
      <c r="K91" s="124"/>
      <c r="L91" s="124"/>
      <c r="M91" s="124"/>
      <c r="N91" s="123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</row>
    <row r="92" customFormat="false" ht="27.75" hidden="false" customHeight="true" outlineLevel="0" collapsed="false">
      <c r="A92" s="106"/>
      <c r="B92" s="127"/>
      <c r="C92" s="137" t="str">
        <f aca="false">CONCATENATE(A92,".",B92)</f>
        <v>.</v>
      </c>
      <c r="D92" s="129"/>
      <c r="E92" s="124"/>
      <c r="F92" s="119"/>
      <c r="G92" s="120"/>
      <c r="H92" s="120"/>
      <c r="I92" s="121"/>
      <c r="J92" s="124"/>
      <c r="K92" s="124"/>
      <c r="L92" s="124"/>
      <c r="M92" s="124"/>
      <c r="N92" s="123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</row>
    <row r="93" customFormat="false" ht="27.75" hidden="false" customHeight="true" outlineLevel="0" collapsed="false">
      <c r="A93" s="106"/>
      <c r="B93" s="127"/>
      <c r="C93" s="137" t="str">
        <f aca="false">CONCATENATE(A93,".",B93)</f>
        <v>.</v>
      </c>
      <c r="D93" s="129"/>
      <c r="E93" s="124"/>
      <c r="F93" s="119"/>
      <c r="G93" s="120"/>
      <c r="H93" s="120"/>
      <c r="I93" s="121"/>
      <c r="J93" s="124"/>
      <c r="K93" s="124"/>
      <c r="L93" s="124"/>
      <c r="M93" s="124"/>
      <c r="N93" s="123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</row>
    <row r="94" customFormat="false" ht="27.75" hidden="false" customHeight="true" outlineLevel="0" collapsed="false">
      <c r="A94" s="106"/>
      <c r="B94" s="127"/>
      <c r="C94" s="137" t="str">
        <f aca="false">CONCATENATE(A94,".",B94)</f>
        <v>.</v>
      </c>
      <c r="D94" s="129"/>
      <c r="E94" s="124"/>
      <c r="F94" s="119"/>
      <c r="G94" s="120"/>
      <c r="H94" s="120"/>
      <c r="I94" s="121"/>
      <c r="J94" s="124"/>
      <c r="K94" s="124"/>
      <c r="L94" s="124"/>
      <c r="M94" s="124"/>
      <c r="N94" s="123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</row>
    <row r="95" customFormat="false" ht="27.75" hidden="false" customHeight="true" outlineLevel="0" collapsed="false">
      <c r="A95" s="106"/>
      <c r="B95" s="127"/>
      <c r="C95" s="137" t="str">
        <f aca="false">CONCATENATE(A95,".",B95)</f>
        <v>.</v>
      </c>
      <c r="D95" s="129"/>
      <c r="E95" s="124"/>
      <c r="F95" s="119"/>
      <c r="G95" s="120"/>
      <c r="H95" s="120"/>
      <c r="I95" s="121"/>
      <c r="J95" s="124"/>
      <c r="K95" s="124"/>
      <c r="L95" s="124"/>
      <c r="M95" s="124"/>
      <c r="N95" s="123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</row>
    <row r="96" customFormat="false" ht="27.75" hidden="false" customHeight="true" outlineLevel="0" collapsed="false">
      <c r="A96" s="106"/>
      <c r="B96" s="127"/>
      <c r="C96" s="137" t="str">
        <f aca="false">CONCATENATE(A96,".",B96)</f>
        <v>.</v>
      </c>
      <c r="D96" s="129"/>
      <c r="E96" s="124"/>
      <c r="F96" s="119"/>
      <c r="G96" s="120"/>
      <c r="H96" s="120"/>
      <c r="I96" s="121"/>
      <c r="J96" s="124"/>
      <c r="K96" s="124"/>
      <c r="L96" s="124"/>
      <c r="M96" s="124"/>
      <c r="N96" s="123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customFormat="false" ht="27.75" hidden="false" customHeight="true" outlineLevel="0" collapsed="false">
      <c r="A97" s="106"/>
      <c r="B97" s="127"/>
      <c r="C97" s="137" t="str">
        <f aca="false">CONCATENATE(A97,".",B97)</f>
        <v>.</v>
      </c>
      <c r="D97" s="129"/>
      <c r="E97" s="124"/>
      <c r="F97" s="119"/>
      <c r="G97" s="120"/>
      <c r="H97" s="120"/>
      <c r="I97" s="121"/>
      <c r="J97" s="124"/>
      <c r="K97" s="124"/>
      <c r="L97" s="124"/>
      <c r="M97" s="124"/>
      <c r="N97" s="123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</row>
    <row r="98" customFormat="false" ht="27.75" hidden="false" customHeight="true" outlineLevel="0" collapsed="false">
      <c r="A98" s="106"/>
      <c r="B98" s="127"/>
      <c r="C98" s="137" t="str">
        <f aca="false">CONCATENATE(A98,".",B98)</f>
        <v>.</v>
      </c>
      <c r="D98" s="129"/>
      <c r="E98" s="124"/>
      <c r="F98" s="119"/>
      <c r="G98" s="120"/>
      <c r="H98" s="120"/>
      <c r="I98" s="121"/>
      <c r="J98" s="124"/>
      <c r="K98" s="124"/>
      <c r="L98" s="124"/>
      <c r="M98" s="124"/>
      <c r="N98" s="123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</row>
    <row r="99" customFormat="false" ht="27.75" hidden="false" customHeight="true" outlineLevel="0" collapsed="false">
      <c r="A99" s="106"/>
      <c r="B99" s="127"/>
      <c r="C99" s="137" t="str">
        <f aca="false">CONCATENATE(A99,".",B99)</f>
        <v>.</v>
      </c>
      <c r="D99" s="129"/>
      <c r="E99" s="124"/>
      <c r="F99" s="119"/>
      <c r="G99" s="120"/>
      <c r="H99" s="120"/>
      <c r="I99" s="121"/>
      <c r="J99" s="124"/>
      <c r="K99" s="124"/>
      <c r="L99" s="124"/>
      <c r="M99" s="124"/>
      <c r="N99" s="123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</row>
    <row r="100" customFormat="false" ht="27.75" hidden="false" customHeight="true" outlineLevel="0" collapsed="false">
      <c r="A100" s="106"/>
      <c r="B100" s="127"/>
      <c r="C100" s="137" t="str">
        <f aca="false">CONCATENATE(A100,".",B100)</f>
        <v>.</v>
      </c>
      <c r="D100" s="129"/>
      <c r="E100" s="124"/>
      <c r="F100" s="119"/>
      <c r="G100" s="120"/>
      <c r="H100" s="120"/>
      <c r="I100" s="121"/>
      <c r="J100" s="124"/>
      <c r="K100" s="124"/>
      <c r="L100" s="124"/>
      <c r="M100" s="124"/>
      <c r="N100" s="123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</row>
    <row r="101" customFormat="false" ht="27.75" hidden="false" customHeight="true" outlineLevel="0" collapsed="false">
      <c r="A101" s="106"/>
      <c r="B101" s="127"/>
      <c r="C101" s="137" t="str">
        <f aca="false">CONCATENATE(A101,".",B101)</f>
        <v>.</v>
      </c>
      <c r="D101" s="129"/>
      <c r="E101" s="124"/>
      <c r="F101" s="119"/>
      <c r="G101" s="120"/>
      <c r="H101" s="120"/>
      <c r="I101" s="121"/>
      <c r="J101" s="124"/>
      <c r="K101" s="124"/>
      <c r="L101" s="124"/>
      <c r="M101" s="124"/>
      <c r="N101" s="123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</row>
    <row r="102" customFormat="false" ht="27.75" hidden="false" customHeight="true" outlineLevel="0" collapsed="false">
      <c r="A102" s="106"/>
      <c r="B102" s="127"/>
      <c r="C102" s="137" t="str">
        <f aca="false">CONCATENATE(A102,".",B102)</f>
        <v>.</v>
      </c>
      <c r="D102" s="129"/>
      <c r="E102" s="124"/>
      <c r="F102" s="119"/>
      <c r="G102" s="120"/>
      <c r="H102" s="120"/>
      <c r="I102" s="121"/>
      <c r="J102" s="124"/>
      <c r="K102" s="124"/>
      <c r="L102" s="124"/>
      <c r="M102" s="124"/>
      <c r="N102" s="123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</row>
    <row r="103" customFormat="false" ht="27.75" hidden="false" customHeight="true" outlineLevel="0" collapsed="false">
      <c r="A103" s="106"/>
      <c r="B103" s="116"/>
      <c r="C103" s="137" t="str">
        <f aca="false">CONCATENATE(A103,".",B103)</f>
        <v>.</v>
      </c>
      <c r="D103" s="129"/>
      <c r="E103" s="124"/>
      <c r="F103" s="119"/>
      <c r="G103" s="120"/>
      <c r="H103" s="120"/>
      <c r="I103" s="121"/>
      <c r="J103" s="124"/>
      <c r="K103" s="124"/>
      <c r="L103" s="124"/>
      <c r="M103" s="124"/>
      <c r="N103" s="123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</row>
    <row r="104" customFormat="false" ht="27.75" hidden="false" customHeight="true" outlineLevel="0" collapsed="false">
      <c r="A104" s="106"/>
      <c r="B104" s="127"/>
      <c r="C104" s="137" t="str">
        <f aca="false">CONCATENATE(A104,".",B104)</f>
        <v>.</v>
      </c>
      <c r="D104" s="129"/>
      <c r="E104" s="124"/>
      <c r="F104" s="119"/>
      <c r="G104" s="120"/>
      <c r="H104" s="120"/>
      <c r="I104" s="121"/>
      <c r="J104" s="124"/>
      <c r="K104" s="124"/>
      <c r="L104" s="124"/>
      <c r="M104" s="124"/>
      <c r="N104" s="123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</row>
    <row r="105" customFormat="false" ht="27.75" hidden="false" customHeight="true" outlineLevel="0" collapsed="false">
      <c r="A105" s="138"/>
      <c r="B105" s="139"/>
      <c r="C105" s="140" t="str">
        <f aca="false">CONCATENATE(A105,".",B105)</f>
        <v>.</v>
      </c>
      <c r="D105" s="141"/>
      <c r="E105" s="145"/>
      <c r="F105" s="142"/>
      <c r="G105" s="143"/>
      <c r="H105" s="143"/>
      <c r="I105" s="144"/>
      <c r="J105" s="145"/>
      <c r="K105" s="145"/>
      <c r="L105" s="145"/>
      <c r="M105" s="145"/>
      <c r="N105" s="14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</row>
    <row r="106" customFormat="false" ht="11.25" hidden="false" customHeight="true" outlineLevel="0" collapsed="false">
      <c r="A106" s="147"/>
      <c r="B106" s="147"/>
      <c r="C106" s="147"/>
      <c r="D106" s="90"/>
      <c r="E106" s="149"/>
      <c r="F106" s="148"/>
      <c r="G106" s="148"/>
      <c r="H106" s="148"/>
      <c r="I106" s="148"/>
      <c r="J106" s="149"/>
      <c r="K106" s="149"/>
      <c r="L106" s="149"/>
      <c r="M106" s="149"/>
      <c r="N106" s="90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</row>
    <row r="107" customFormat="false" ht="11.25" hidden="false" customHeight="true" outlineLevel="0" collapsed="false">
      <c r="A107" s="147"/>
      <c r="B107" s="147"/>
      <c r="C107" s="147"/>
      <c r="D107" s="90"/>
      <c r="E107" s="149"/>
      <c r="F107" s="148"/>
      <c r="G107" s="148"/>
      <c r="H107" s="148"/>
      <c r="I107" s="148"/>
      <c r="J107" s="149"/>
      <c r="K107" s="149"/>
      <c r="L107" s="149"/>
      <c r="M107" s="149"/>
      <c r="N107" s="90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</row>
    <row r="108" customFormat="false" ht="11.25" hidden="false" customHeight="true" outlineLevel="0" collapsed="false">
      <c r="A108" s="147"/>
      <c r="B108" s="147"/>
      <c r="C108" s="147"/>
      <c r="D108" s="90"/>
      <c r="E108" s="149"/>
      <c r="F108" s="148"/>
      <c r="G108" s="148"/>
      <c r="H108" s="148"/>
      <c r="I108" s="148"/>
      <c r="J108" s="149"/>
      <c r="K108" s="149"/>
      <c r="L108" s="149"/>
      <c r="M108" s="149"/>
      <c r="N108" s="90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</row>
    <row r="109" customFormat="false" ht="11.25" hidden="false" customHeight="true" outlineLevel="0" collapsed="false">
      <c r="A109" s="147"/>
      <c r="B109" s="147"/>
      <c r="C109" s="147"/>
      <c r="D109" s="90"/>
      <c r="E109" s="149"/>
      <c r="F109" s="148"/>
      <c r="G109" s="148"/>
      <c r="H109" s="148"/>
      <c r="I109" s="148"/>
      <c r="J109" s="149"/>
      <c r="K109" s="149"/>
      <c r="L109" s="149"/>
      <c r="M109" s="149"/>
      <c r="N109" s="90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</row>
    <row r="110" customFormat="false" ht="11.25" hidden="false" customHeight="true" outlineLevel="0" collapsed="false">
      <c r="A110" s="147"/>
      <c r="B110" s="147"/>
      <c r="C110" s="147"/>
      <c r="D110" s="90"/>
      <c r="E110" s="149"/>
      <c r="F110" s="148"/>
      <c r="G110" s="148"/>
      <c r="H110" s="148"/>
      <c r="I110" s="148"/>
      <c r="J110" s="149"/>
      <c r="K110" s="149"/>
      <c r="L110" s="149"/>
      <c r="M110" s="149"/>
      <c r="N110" s="90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</row>
    <row r="111" customFormat="false" ht="11.25" hidden="false" customHeight="true" outlineLevel="0" collapsed="false">
      <c r="A111" s="147"/>
      <c r="B111" s="147"/>
      <c r="C111" s="147"/>
      <c r="D111" s="90"/>
      <c r="E111" s="149"/>
      <c r="F111" s="148"/>
      <c r="G111" s="148"/>
      <c r="H111" s="148"/>
      <c r="I111" s="148"/>
      <c r="J111" s="149"/>
      <c r="K111" s="149"/>
      <c r="L111" s="149"/>
      <c r="M111" s="149"/>
      <c r="N111" s="90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</row>
    <row r="112" customFormat="false" ht="11.25" hidden="false" customHeight="true" outlineLevel="0" collapsed="false">
      <c r="A112" s="147"/>
      <c r="B112" s="147"/>
      <c r="C112" s="147"/>
      <c r="D112" s="90"/>
      <c r="E112" s="149"/>
      <c r="F112" s="148"/>
      <c r="G112" s="148"/>
      <c r="H112" s="148"/>
      <c r="I112" s="148"/>
      <c r="J112" s="149"/>
      <c r="K112" s="149"/>
      <c r="L112" s="149"/>
      <c r="M112" s="149"/>
      <c r="N112" s="90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</row>
    <row r="113" customFormat="false" ht="11.25" hidden="false" customHeight="true" outlineLevel="0" collapsed="false">
      <c r="A113" s="147"/>
      <c r="B113" s="147"/>
      <c r="C113" s="147"/>
      <c r="D113" s="90"/>
      <c r="E113" s="149"/>
      <c r="F113" s="148"/>
      <c r="G113" s="148"/>
      <c r="H113" s="148"/>
      <c r="I113" s="148"/>
      <c r="J113" s="149"/>
      <c r="K113" s="149"/>
      <c r="L113" s="149"/>
      <c r="M113" s="149"/>
      <c r="N113" s="90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</row>
    <row r="114" customFormat="false" ht="11.25" hidden="false" customHeight="true" outlineLevel="0" collapsed="false">
      <c r="A114" s="147"/>
      <c r="B114" s="147"/>
      <c r="C114" s="147"/>
      <c r="D114" s="90"/>
      <c r="E114" s="149"/>
      <c r="F114" s="148"/>
      <c r="G114" s="148"/>
      <c r="H114" s="148"/>
      <c r="I114" s="148"/>
      <c r="J114" s="149"/>
      <c r="K114" s="149"/>
      <c r="L114" s="149"/>
      <c r="M114" s="149"/>
      <c r="N114" s="90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</row>
    <row r="115" customFormat="false" ht="11.25" hidden="false" customHeight="true" outlineLevel="0" collapsed="false">
      <c r="A115" s="147"/>
      <c r="B115" s="147"/>
      <c r="C115" s="147"/>
      <c r="D115" s="90"/>
      <c r="E115" s="149"/>
      <c r="F115" s="148"/>
      <c r="G115" s="148"/>
      <c r="H115" s="148"/>
      <c r="I115" s="148"/>
      <c r="J115" s="149"/>
      <c r="K115" s="149"/>
      <c r="L115" s="149"/>
      <c r="M115" s="149"/>
      <c r="N115" s="90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</row>
    <row r="116" customFormat="false" ht="11.25" hidden="false" customHeight="true" outlineLevel="0" collapsed="false">
      <c r="A116" s="147"/>
      <c r="B116" s="147"/>
      <c r="C116" s="147"/>
      <c r="D116" s="90"/>
      <c r="E116" s="149"/>
      <c r="F116" s="148"/>
      <c r="G116" s="148"/>
      <c r="H116" s="148"/>
      <c r="I116" s="148"/>
      <c r="J116" s="149"/>
      <c r="K116" s="149"/>
      <c r="L116" s="149"/>
      <c r="M116" s="149"/>
      <c r="N116" s="90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</row>
    <row r="117" customFormat="false" ht="11.25" hidden="false" customHeight="true" outlineLevel="0" collapsed="false">
      <c r="A117" s="147"/>
      <c r="B117" s="147"/>
      <c r="C117" s="147"/>
      <c r="D117" s="90"/>
      <c r="E117" s="149"/>
      <c r="F117" s="148"/>
      <c r="G117" s="148"/>
      <c r="H117" s="148"/>
      <c r="I117" s="148"/>
      <c r="J117" s="149"/>
      <c r="K117" s="149"/>
      <c r="L117" s="149"/>
      <c r="M117" s="149"/>
      <c r="N117" s="90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</row>
    <row r="118" customFormat="false" ht="11.25" hidden="false" customHeight="true" outlineLevel="0" collapsed="false">
      <c r="A118" s="147"/>
      <c r="B118" s="147"/>
      <c r="C118" s="147"/>
      <c r="D118" s="90"/>
      <c r="E118" s="149"/>
      <c r="F118" s="148"/>
      <c r="G118" s="148"/>
      <c r="H118" s="148"/>
      <c r="I118" s="148"/>
      <c r="J118" s="149"/>
      <c r="K118" s="149"/>
      <c r="L118" s="149"/>
      <c r="M118" s="149"/>
      <c r="N118" s="90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</row>
    <row r="119" customFormat="false" ht="11.25" hidden="false" customHeight="true" outlineLevel="0" collapsed="false">
      <c r="A119" s="147"/>
      <c r="B119" s="147"/>
      <c r="C119" s="147"/>
      <c r="D119" s="90"/>
      <c r="E119" s="149"/>
      <c r="F119" s="148"/>
      <c r="G119" s="148"/>
      <c r="H119" s="148"/>
      <c r="I119" s="148"/>
      <c r="J119" s="149"/>
      <c r="K119" s="149"/>
      <c r="L119" s="149"/>
      <c r="M119" s="149"/>
      <c r="N119" s="90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</row>
    <row r="120" customFormat="false" ht="11.25" hidden="false" customHeight="true" outlineLevel="0" collapsed="false">
      <c r="A120" s="147"/>
      <c r="B120" s="147"/>
      <c r="C120" s="147"/>
      <c r="D120" s="90"/>
      <c r="E120" s="149"/>
      <c r="F120" s="148"/>
      <c r="G120" s="148"/>
      <c r="H120" s="148"/>
      <c r="I120" s="148"/>
      <c r="J120" s="149"/>
      <c r="K120" s="149"/>
      <c r="L120" s="149"/>
      <c r="M120" s="149"/>
      <c r="N120" s="90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</row>
    <row r="121" customFormat="false" ht="11.25" hidden="false" customHeight="true" outlineLevel="0" collapsed="false">
      <c r="A121" s="147"/>
      <c r="B121" s="147"/>
      <c r="C121" s="147"/>
      <c r="D121" s="90"/>
      <c r="E121" s="149"/>
      <c r="F121" s="148"/>
      <c r="G121" s="148"/>
      <c r="H121" s="148"/>
      <c r="I121" s="148"/>
      <c r="J121" s="149"/>
      <c r="K121" s="149"/>
      <c r="L121" s="149"/>
      <c r="M121" s="149"/>
      <c r="N121" s="90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</row>
    <row r="122" customFormat="false" ht="11.25" hidden="false" customHeight="true" outlineLevel="0" collapsed="false">
      <c r="A122" s="147"/>
      <c r="B122" s="147"/>
      <c r="C122" s="147"/>
      <c r="D122" s="90"/>
      <c r="E122" s="149"/>
      <c r="F122" s="148"/>
      <c r="G122" s="148"/>
      <c r="H122" s="148"/>
      <c r="I122" s="148"/>
      <c r="J122" s="149"/>
      <c r="K122" s="149"/>
      <c r="L122" s="149"/>
      <c r="M122" s="149"/>
      <c r="N122" s="90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</row>
    <row r="123" customFormat="false" ht="11.25" hidden="false" customHeight="true" outlineLevel="0" collapsed="false">
      <c r="A123" s="147"/>
      <c r="B123" s="147"/>
      <c r="C123" s="147"/>
      <c r="D123" s="90"/>
      <c r="E123" s="149"/>
      <c r="F123" s="148"/>
      <c r="G123" s="148"/>
      <c r="H123" s="148"/>
      <c r="I123" s="148"/>
      <c r="J123" s="149"/>
      <c r="K123" s="149"/>
      <c r="L123" s="149"/>
      <c r="M123" s="149"/>
      <c r="N123" s="90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</row>
    <row r="124" customFormat="false" ht="11.25" hidden="false" customHeight="true" outlineLevel="0" collapsed="false">
      <c r="A124" s="147"/>
      <c r="B124" s="147"/>
      <c r="C124" s="147"/>
      <c r="D124" s="90"/>
      <c r="E124" s="149"/>
      <c r="F124" s="148"/>
      <c r="G124" s="148"/>
      <c r="H124" s="148"/>
      <c r="I124" s="148"/>
      <c r="J124" s="149"/>
      <c r="K124" s="149"/>
      <c r="L124" s="149"/>
      <c r="M124" s="149"/>
      <c r="N124" s="90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</row>
    <row r="125" customFormat="false" ht="11.25" hidden="false" customHeight="true" outlineLevel="0" collapsed="false">
      <c r="A125" s="147"/>
      <c r="B125" s="147"/>
      <c r="C125" s="147"/>
      <c r="D125" s="90"/>
      <c r="E125" s="149"/>
      <c r="F125" s="148"/>
      <c r="G125" s="148"/>
      <c r="H125" s="148"/>
      <c r="I125" s="148"/>
      <c r="J125" s="149"/>
      <c r="K125" s="149"/>
      <c r="L125" s="149"/>
      <c r="M125" s="149"/>
      <c r="N125" s="90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</row>
    <row r="126" customFormat="false" ht="11.25" hidden="false" customHeight="true" outlineLevel="0" collapsed="false">
      <c r="A126" s="147"/>
      <c r="B126" s="147"/>
      <c r="C126" s="147"/>
      <c r="D126" s="90"/>
      <c r="E126" s="149"/>
      <c r="F126" s="148"/>
      <c r="G126" s="148"/>
      <c r="H126" s="148"/>
      <c r="I126" s="148"/>
      <c r="J126" s="149"/>
      <c r="K126" s="149"/>
      <c r="L126" s="149"/>
      <c r="M126" s="149"/>
      <c r="N126" s="90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</row>
    <row r="127" customFormat="false" ht="11.25" hidden="false" customHeight="true" outlineLevel="0" collapsed="false">
      <c r="A127" s="147"/>
      <c r="B127" s="147"/>
      <c r="C127" s="147"/>
      <c r="D127" s="90"/>
      <c r="E127" s="149"/>
      <c r="F127" s="148"/>
      <c r="G127" s="148"/>
      <c r="H127" s="148"/>
      <c r="I127" s="148"/>
      <c r="J127" s="149"/>
      <c r="K127" s="149"/>
      <c r="L127" s="149"/>
      <c r="M127" s="149"/>
      <c r="N127" s="90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</row>
    <row r="128" customFormat="false" ht="11.25" hidden="false" customHeight="true" outlineLevel="0" collapsed="false">
      <c r="A128" s="147"/>
      <c r="B128" s="147"/>
      <c r="C128" s="147"/>
      <c r="D128" s="90"/>
      <c r="E128" s="149"/>
      <c r="F128" s="148"/>
      <c r="G128" s="148"/>
      <c r="H128" s="148"/>
      <c r="I128" s="148"/>
      <c r="J128" s="149"/>
      <c r="K128" s="149"/>
      <c r="L128" s="149"/>
      <c r="M128" s="149"/>
      <c r="N128" s="90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</row>
    <row r="129" customFormat="false" ht="11.25" hidden="false" customHeight="true" outlineLevel="0" collapsed="false">
      <c r="A129" s="147"/>
      <c r="B129" s="147"/>
      <c r="C129" s="147"/>
      <c r="D129" s="90"/>
      <c r="E129" s="149"/>
      <c r="F129" s="148"/>
      <c r="G129" s="148"/>
      <c r="H129" s="148"/>
      <c r="I129" s="148"/>
      <c r="J129" s="149"/>
      <c r="K129" s="149"/>
      <c r="L129" s="149"/>
      <c r="M129" s="149"/>
      <c r="N129" s="90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</row>
    <row r="130" customFormat="false" ht="11.25" hidden="false" customHeight="true" outlineLevel="0" collapsed="false">
      <c r="A130" s="147"/>
      <c r="B130" s="147"/>
      <c r="C130" s="147"/>
      <c r="D130" s="90"/>
      <c r="E130" s="149"/>
      <c r="F130" s="148"/>
      <c r="G130" s="148"/>
      <c r="H130" s="148"/>
      <c r="I130" s="148"/>
      <c r="J130" s="149"/>
      <c r="K130" s="149"/>
      <c r="L130" s="149"/>
      <c r="M130" s="149"/>
      <c r="N130" s="90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</row>
    <row r="131" customFormat="false" ht="11.25" hidden="false" customHeight="true" outlineLevel="0" collapsed="false">
      <c r="A131" s="147"/>
      <c r="B131" s="147"/>
      <c r="C131" s="147"/>
      <c r="D131" s="90"/>
      <c r="E131" s="149"/>
      <c r="F131" s="148"/>
      <c r="G131" s="148"/>
      <c r="H131" s="148"/>
      <c r="I131" s="148"/>
      <c r="J131" s="149"/>
      <c r="K131" s="149"/>
      <c r="L131" s="149"/>
      <c r="M131" s="149"/>
      <c r="N131" s="90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</row>
    <row r="132" customFormat="false" ht="11.25" hidden="false" customHeight="true" outlineLevel="0" collapsed="false">
      <c r="A132" s="147"/>
      <c r="B132" s="147"/>
      <c r="C132" s="147"/>
      <c r="D132" s="90"/>
      <c r="E132" s="149"/>
      <c r="F132" s="148"/>
      <c r="G132" s="148"/>
      <c r="H132" s="148"/>
      <c r="I132" s="148"/>
      <c r="J132" s="149"/>
      <c r="K132" s="149"/>
      <c r="L132" s="149"/>
      <c r="M132" s="149"/>
      <c r="N132" s="90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</row>
    <row r="133" customFormat="false" ht="11.25" hidden="false" customHeight="true" outlineLevel="0" collapsed="false">
      <c r="A133" s="147"/>
      <c r="B133" s="147"/>
      <c r="C133" s="147"/>
      <c r="D133" s="90"/>
      <c r="E133" s="149"/>
      <c r="F133" s="148"/>
      <c r="G133" s="148"/>
      <c r="H133" s="148"/>
      <c r="I133" s="148"/>
      <c r="J133" s="149"/>
      <c r="K133" s="149"/>
      <c r="L133" s="149"/>
      <c r="M133" s="149"/>
      <c r="N133" s="90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</row>
    <row r="134" customFormat="false" ht="11.25" hidden="false" customHeight="true" outlineLevel="0" collapsed="false">
      <c r="A134" s="147"/>
      <c r="B134" s="147"/>
      <c r="C134" s="147"/>
      <c r="D134" s="90"/>
      <c r="E134" s="149"/>
      <c r="F134" s="148"/>
      <c r="G134" s="148"/>
      <c r="H134" s="148"/>
      <c r="I134" s="148"/>
      <c r="J134" s="149"/>
      <c r="K134" s="149"/>
      <c r="L134" s="149"/>
      <c r="M134" s="149"/>
      <c r="N134" s="90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</row>
    <row r="135" customFormat="false" ht="11.25" hidden="false" customHeight="true" outlineLevel="0" collapsed="false">
      <c r="A135" s="147"/>
      <c r="B135" s="147"/>
      <c r="C135" s="147"/>
      <c r="D135" s="90"/>
      <c r="E135" s="149"/>
      <c r="F135" s="148"/>
      <c r="G135" s="148"/>
      <c r="H135" s="148"/>
      <c r="I135" s="148"/>
      <c r="J135" s="149"/>
      <c r="K135" s="149"/>
      <c r="L135" s="149"/>
      <c r="M135" s="149"/>
      <c r="N135" s="90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</row>
    <row r="136" customFormat="false" ht="11.25" hidden="false" customHeight="true" outlineLevel="0" collapsed="false">
      <c r="A136" s="147"/>
      <c r="B136" s="147"/>
      <c r="C136" s="147"/>
      <c r="D136" s="90"/>
      <c r="E136" s="149"/>
      <c r="F136" s="148"/>
      <c r="G136" s="148"/>
      <c r="H136" s="148"/>
      <c r="I136" s="148"/>
      <c r="J136" s="149"/>
      <c r="K136" s="149"/>
      <c r="L136" s="149"/>
      <c r="M136" s="149"/>
      <c r="N136" s="90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</row>
    <row r="137" customFormat="false" ht="11.25" hidden="false" customHeight="true" outlineLevel="0" collapsed="false">
      <c r="A137" s="147"/>
      <c r="B137" s="147"/>
      <c r="C137" s="147"/>
      <c r="D137" s="90"/>
      <c r="E137" s="149"/>
      <c r="F137" s="148"/>
      <c r="G137" s="148"/>
      <c r="H137" s="148"/>
      <c r="I137" s="148"/>
      <c r="J137" s="149"/>
      <c r="K137" s="149"/>
      <c r="L137" s="149"/>
      <c r="M137" s="149"/>
      <c r="N137" s="90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</row>
    <row r="138" customFormat="false" ht="11.25" hidden="false" customHeight="true" outlineLevel="0" collapsed="false">
      <c r="A138" s="147"/>
      <c r="B138" s="147"/>
      <c r="C138" s="147"/>
      <c r="D138" s="90"/>
      <c r="E138" s="149"/>
      <c r="F138" s="148"/>
      <c r="G138" s="148"/>
      <c r="H138" s="148"/>
      <c r="I138" s="148"/>
      <c r="J138" s="149"/>
      <c r="K138" s="149"/>
      <c r="L138" s="149"/>
      <c r="M138" s="149"/>
      <c r="N138" s="90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</row>
    <row r="139" customFormat="false" ht="11.25" hidden="false" customHeight="true" outlineLevel="0" collapsed="false">
      <c r="A139" s="147"/>
      <c r="B139" s="147"/>
      <c r="C139" s="147"/>
      <c r="D139" s="90"/>
      <c r="E139" s="149"/>
      <c r="F139" s="148"/>
      <c r="G139" s="148"/>
      <c r="H139" s="148"/>
      <c r="I139" s="148"/>
      <c r="J139" s="149"/>
      <c r="K139" s="149"/>
      <c r="L139" s="149"/>
      <c r="M139" s="149"/>
      <c r="N139" s="90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</row>
    <row r="140" customFormat="false" ht="11.25" hidden="false" customHeight="true" outlineLevel="0" collapsed="false">
      <c r="A140" s="147"/>
      <c r="B140" s="147"/>
      <c r="C140" s="147"/>
      <c r="D140" s="90"/>
      <c r="E140" s="149"/>
      <c r="F140" s="148"/>
      <c r="G140" s="148"/>
      <c r="H140" s="148"/>
      <c r="I140" s="148"/>
      <c r="J140" s="149"/>
      <c r="K140" s="149"/>
      <c r="L140" s="149"/>
      <c r="M140" s="149"/>
      <c r="N140" s="90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</row>
    <row r="141" customFormat="false" ht="11.25" hidden="false" customHeight="true" outlineLevel="0" collapsed="false">
      <c r="A141" s="147"/>
      <c r="B141" s="147"/>
      <c r="C141" s="147"/>
      <c r="D141" s="90"/>
      <c r="E141" s="149"/>
      <c r="F141" s="148"/>
      <c r="G141" s="148"/>
      <c r="H141" s="148"/>
      <c r="I141" s="148"/>
      <c r="J141" s="149"/>
      <c r="K141" s="149"/>
      <c r="L141" s="149"/>
      <c r="M141" s="149"/>
      <c r="N141" s="90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</row>
    <row r="142" customFormat="false" ht="11.25" hidden="false" customHeight="true" outlineLevel="0" collapsed="false">
      <c r="A142" s="147"/>
      <c r="B142" s="147"/>
      <c r="C142" s="147"/>
      <c r="D142" s="90"/>
      <c r="E142" s="149"/>
      <c r="F142" s="148"/>
      <c r="G142" s="148"/>
      <c r="H142" s="148"/>
      <c r="I142" s="148"/>
      <c r="J142" s="149"/>
      <c r="K142" s="149"/>
      <c r="L142" s="149"/>
      <c r="M142" s="149"/>
      <c r="N142" s="90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</row>
    <row r="143" customFormat="false" ht="11.25" hidden="false" customHeight="true" outlineLevel="0" collapsed="false">
      <c r="A143" s="147"/>
      <c r="B143" s="147"/>
      <c r="C143" s="147"/>
      <c r="D143" s="90"/>
      <c r="E143" s="149"/>
      <c r="F143" s="148"/>
      <c r="G143" s="148"/>
      <c r="H143" s="148"/>
      <c r="I143" s="148"/>
      <c r="J143" s="149"/>
      <c r="K143" s="149"/>
      <c r="L143" s="149"/>
      <c r="M143" s="149"/>
      <c r="N143" s="90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</row>
    <row r="144" customFormat="false" ht="11.25" hidden="false" customHeight="true" outlineLevel="0" collapsed="false">
      <c r="A144" s="147"/>
      <c r="B144" s="147"/>
      <c r="C144" s="147"/>
      <c r="D144" s="90"/>
      <c r="E144" s="149"/>
      <c r="F144" s="148"/>
      <c r="G144" s="148"/>
      <c r="H144" s="148"/>
      <c r="I144" s="148"/>
      <c r="J144" s="149"/>
      <c r="K144" s="149"/>
      <c r="L144" s="149"/>
      <c r="M144" s="149"/>
      <c r="N144" s="90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</row>
    <row r="145" customFormat="false" ht="11.25" hidden="false" customHeight="true" outlineLevel="0" collapsed="false">
      <c r="A145" s="147"/>
      <c r="B145" s="147"/>
      <c r="C145" s="147"/>
      <c r="D145" s="90"/>
      <c r="E145" s="149"/>
      <c r="F145" s="148"/>
      <c r="G145" s="148"/>
      <c r="H145" s="148"/>
      <c r="I145" s="148"/>
      <c r="J145" s="149"/>
      <c r="K145" s="149"/>
      <c r="L145" s="149"/>
      <c r="M145" s="149"/>
      <c r="N145" s="90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customFormat="false" ht="11.25" hidden="false" customHeight="true" outlineLevel="0" collapsed="false">
      <c r="A146" s="147"/>
      <c r="B146" s="147"/>
      <c r="C146" s="147"/>
      <c r="D146" s="90"/>
      <c r="E146" s="149"/>
      <c r="F146" s="148"/>
      <c r="G146" s="148"/>
      <c r="H146" s="148"/>
      <c r="I146" s="148"/>
      <c r="J146" s="149"/>
      <c r="K146" s="149"/>
      <c r="L146" s="149"/>
      <c r="M146" s="149"/>
      <c r="N146" s="90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customFormat="false" ht="11.25" hidden="false" customHeight="true" outlineLevel="0" collapsed="false">
      <c r="A147" s="147"/>
      <c r="B147" s="147"/>
      <c r="C147" s="147"/>
      <c r="D147" s="90"/>
      <c r="E147" s="149"/>
      <c r="F147" s="148"/>
      <c r="G147" s="148"/>
      <c r="H147" s="148"/>
      <c r="I147" s="148"/>
      <c r="J147" s="149"/>
      <c r="K147" s="149"/>
      <c r="L147" s="149"/>
      <c r="M147" s="149"/>
      <c r="N147" s="90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customFormat="false" ht="11.25" hidden="false" customHeight="true" outlineLevel="0" collapsed="false">
      <c r="A148" s="147"/>
      <c r="B148" s="147"/>
      <c r="C148" s="147"/>
      <c r="D148" s="90"/>
      <c r="E148" s="149"/>
      <c r="F148" s="148"/>
      <c r="G148" s="148"/>
      <c r="H148" s="148"/>
      <c r="I148" s="148"/>
      <c r="J148" s="149"/>
      <c r="K148" s="149"/>
      <c r="L148" s="149"/>
      <c r="M148" s="149"/>
      <c r="N148" s="90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customFormat="false" ht="11.25" hidden="false" customHeight="true" outlineLevel="0" collapsed="false">
      <c r="A149" s="147"/>
      <c r="B149" s="147"/>
      <c r="C149" s="147"/>
      <c r="D149" s="90"/>
      <c r="E149" s="149"/>
      <c r="F149" s="148"/>
      <c r="G149" s="148"/>
      <c r="H149" s="148"/>
      <c r="I149" s="148"/>
      <c r="J149" s="149"/>
      <c r="K149" s="149"/>
      <c r="L149" s="149"/>
      <c r="M149" s="149"/>
      <c r="N149" s="90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customFormat="false" ht="11.25" hidden="false" customHeight="true" outlineLevel="0" collapsed="false">
      <c r="A150" s="147"/>
      <c r="B150" s="147"/>
      <c r="C150" s="147"/>
      <c r="D150" s="90"/>
      <c r="E150" s="149"/>
      <c r="F150" s="148"/>
      <c r="G150" s="148"/>
      <c r="H150" s="148"/>
      <c r="I150" s="148"/>
      <c r="J150" s="149"/>
      <c r="K150" s="149"/>
      <c r="L150" s="149"/>
      <c r="M150" s="149"/>
      <c r="N150" s="90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customFormat="false" ht="11.25" hidden="false" customHeight="true" outlineLevel="0" collapsed="false">
      <c r="A151" s="147"/>
      <c r="B151" s="147"/>
      <c r="C151" s="147"/>
      <c r="D151" s="90"/>
      <c r="E151" s="149"/>
      <c r="F151" s="148"/>
      <c r="G151" s="148"/>
      <c r="H151" s="148"/>
      <c r="I151" s="148"/>
      <c r="J151" s="149"/>
      <c r="K151" s="149"/>
      <c r="L151" s="149"/>
      <c r="M151" s="149"/>
      <c r="N151" s="90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customFormat="false" ht="11.25" hidden="false" customHeight="true" outlineLevel="0" collapsed="false">
      <c r="A152" s="147"/>
      <c r="B152" s="147"/>
      <c r="C152" s="147"/>
      <c r="D152" s="90"/>
      <c r="E152" s="149"/>
      <c r="F152" s="148"/>
      <c r="G152" s="148"/>
      <c r="H152" s="148"/>
      <c r="I152" s="148"/>
      <c r="J152" s="149"/>
      <c r="K152" s="149"/>
      <c r="L152" s="149"/>
      <c r="M152" s="149"/>
      <c r="N152" s="90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customFormat="false" ht="11.25" hidden="false" customHeight="true" outlineLevel="0" collapsed="false">
      <c r="A153" s="147"/>
      <c r="B153" s="147"/>
      <c r="C153" s="147"/>
      <c r="D153" s="90"/>
      <c r="E153" s="149"/>
      <c r="F153" s="148"/>
      <c r="G153" s="148"/>
      <c r="H153" s="148"/>
      <c r="I153" s="148"/>
      <c r="J153" s="149"/>
      <c r="K153" s="149"/>
      <c r="L153" s="149"/>
      <c r="M153" s="149"/>
      <c r="N153" s="90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customFormat="false" ht="11.25" hidden="false" customHeight="true" outlineLevel="0" collapsed="false">
      <c r="A154" s="147"/>
      <c r="B154" s="147"/>
      <c r="C154" s="147"/>
      <c r="D154" s="90"/>
      <c r="E154" s="149"/>
      <c r="F154" s="148"/>
      <c r="G154" s="148"/>
      <c r="H154" s="148"/>
      <c r="I154" s="148"/>
      <c r="J154" s="149"/>
      <c r="K154" s="149"/>
      <c r="L154" s="149"/>
      <c r="M154" s="149"/>
      <c r="N154" s="90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customFormat="false" ht="11.25" hidden="false" customHeight="true" outlineLevel="0" collapsed="false">
      <c r="A155" s="147"/>
      <c r="B155" s="147"/>
      <c r="C155" s="147"/>
      <c r="D155" s="90"/>
      <c r="E155" s="149"/>
      <c r="F155" s="148"/>
      <c r="G155" s="148"/>
      <c r="H155" s="148"/>
      <c r="I155" s="148"/>
      <c r="J155" s="149"/>
      <c r="K155" s="149"/>
      <c r="L155" s="149"/>
      <c r="M155" s="149"/>
      <c r="N155" s="90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customFormat="false" ht="11.25" hidden="false" customHeight="true" outlineLevel="0" collapsed="false">
      <c r="A156" s="147"/>
      <c r="B156" s="147"/>
      <c r="C156" s="147"/>
      <c r="D156" s="90"/>
      <c r="E156" s="149"/>
      <c r="F156" s="148"/>
      <c r="G156" s="148"/>
      <c r="H156" s="148"/>
      <c r="I156" s="148"/>
      <c r="J156" s="149"/>
      <c r="K156" s="149"/>
      <c r="L156" s="149"/>
      <c r="M156" s="149"/>
      <c r="N156" s="90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customFormat="false" ht="11.25" hidden="false" customHeight="true" outlineLevel="0" collapsed="false">
      <c r="A157" s="89"/>
      <c r="B157" s="89"/>
      <c r="C157" s="89"/>
      <c r="D157" s="150"/>
      <c r="E157" s="152"/>
      <c r="F157" s="151"/>
      <c r="G157" s="151"/>
      <c r="H157" s="151"/>
      <c r="I157" s="151"/>
      <c r="J157" s="152"/>
      <c r="K157" s="152"/>
      <c r="L157" s="152"/>
      <c r="M157" s="152"/>
      <c r="N157" s="150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customFormat="false" ht="11.25" hidden="false" customHeight="true" outlineLevel="0" collapsed="false">
      <c r="A158" s="89"/>
      <c r="B158" s="89"/>
      <c r="C158" s="89"/>
      <c r="D158" s="150"/>
      <c r="E158" s="152"/>
      <c r="F158" s="151"/>
      <c r="G158" s="151"/>
      <c r="H158" s="151"/>
      <c r="I158" s="151"/>
      <c r="J158" s="152"/>
      <c r="K158" s="152"/>
      <c r="L158" s="152"/>
      <c r="M158" s="152"/>
      <c r="N158" s="150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customFormat="false" ht="11.25" hidden="false" customHeight="true" outlineLevel="0" collapsed="false">
      <c r="A159" s="89"/>
      <c r="B159" s="89"/>
      <c r="C159" s="89"/>
      <c r="D159" s="150"/>
      <c r="E159" s="152"/>
      <c r="F159" s="151"/>
      <c r="G159" s="151"/>
      <c r="H159" s="151"/>
      <c r="I159" s="151"/>
      <c r="J159" s="152"/>
      <c r="K159" s="152"/>
      <c r="L159" s="152"/>
      <c r="M159" s="152"/>
      <c r="N159" s="150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customFormat="false" ht="11.25" hidden="false" customHeight="true" outlineLevel="0" collapsed="false">
      <c r="A160" s="89"/>
      <c r="B160" s="89"/>
      <c r="C160" s="89"/>
      <c r="D160" s="150"/>
      <c r="E160" s="152"/>
      <c r="F160" s="151"/>
      <c r="G160" s="151"/>
      <c r="H160" s="151"/>
      <c r="I160" s="151"/>
      <c r="J160" s="152"/>
      <c r="K160" s="152"/>
      <c r="L160" s="152"/>
      <c r="M160" s="152"/>
      <c r="N160" s="150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customFormat="false" ht="11.25" hidden="false" customHeight="true" outlineLevel="0" collapsed="false">
      <c r="A161" s="89"/>
      <c r="B161" s="89"/>
      <c r="C161" s="89"/>
      <c r="D161" s="150"/>
      <c r="E161" s="152"/>
      <c r="F161" s="151"/>
      <c r="G161" s="151"/>
      <c r="H161" s="151"/>
      <c r="I161" s="151"/>
      <c r="J161" s="152"/>
      <c r="K161" s="152"/>
      <c r="L161" s="152"/>
      <c r="M161" s="152"/>
      <c r="N161" s="150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customFormat="false" ht="11.25" hidden="false" customHeight="true" outlineLevel="0" collapsed="false">
      <c r="A162" s="89"/>
      <c r="B162" s="89"/>
      <c r="C162" s="89"/>
      <c r="D162" s="150"/>
      <c r="E162" s="152"/>
      <c r="F162" s="151"/>
      <c r="G162" s="151"/>
      <c r="H162" s="151"/>
      <c r="I162" s="151"/>
      <c r="J162" s="152"/>
      <c r="K162" s="152"/>
      <c r="L162" s="152"/>
      <c r="M162" s="152"/>
      <c r="N162" s="150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customFormat="false" ht="11.25" hidden="false" customHeight="true" outlineLevel="0" collapsed="false">
      <c r="A163" s="89"/>
      <c r="B163" s="89"/>
      <c r="C163" s="89"/>
      <c r="D163" s="150"/>
      <c r="E163" s="152"/>
      <c r="F163" s="151"/>
      <c r="G163" s="151"/>
      <c r="H163" s="151"/>
      <c r="I163" s="151"/>
      <c r="J163" s="152"/>
      <c r="K163" s="152"/>
      <c r="L163" s="152"/>
      <c r="M163" s="152"/>
      <c r="N163" s="150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customFormat="false" ht="11.25" hidden="false" customHeight="true" outlineLevel="0" collapsed="false">
      <c r="A164" s="89"/>
      <c r="B164" s="89"/>
      <c r="C164" s="89"/>
      <c r="D164" s="150"/>
      <c r="E164" s="152"/>
      <c r="F164" s="151"/>
      <c r="G164" s="151"/>
      <c r="H164" s="151"/>
      <c r="I164" s="151"/>
      <c r="J164" s="152"/>
      <c r="K164" s="152"/>
      <c r="L164" s="152"/>
      <c r="M164" s="152"/>
      <c r="N164" s="150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customFormat="false" ht="11.25" hidden="false" customHeight="true" outlineLevel="0" collapsed="false">
      <c r="A165" s="89"/>
      <c r="B165" s="89"/>
      <c r="C165" s="89"/>
      <c r="D165" s="150"/>
      <c r="E165" s="152"/>
      <c r="F165" s="151"/>
      <c r="G165" s="151"/>
      <c r="H165" s="151"/>
      <c r="I165" s="151"/>
      <c r="J165" s="152"/>
      <c r="K165" s="152"/>
      <c r="L165" s="152"/>
      <c r="M165" s="152"/>
      <c r="N165" s="150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customFormat="false" ht="11.25" hidden="false" customHeight="true" outlineLevel="0" collapsed="false">
      <c r="A166" s="89"/>
      <c r="B166" s="89"/>
      <c r="C166" s="89"/>
      <c r="D166" s="150"/>
      <c r="E166" s="152"/>
      <c r="F166" s="151"/>
      <c r="G166" s="151"/>
      <c r="H166" s="151"/>
      <c r="I166" s="151"/>
      <c r="J166" s="152"/>
      <c r="K166" s="152"/>
      <c r="L166" s="152"/>
      <c r="M166" s="152"/>
      <c r="N166" s="150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customFormat="false" ht="11.25" hidden="false" customHeight="true" outlineLevel="0" collapsed="false">
      <c r="A167" s="89"/>
      <c r="B167" s="89"/>
      <c r="C167" s="89"/>
      <c r="D167" s="150"/>
      <c r="E167" s="152"/>
      <c r="F167" s="151"/>
      <c r="G167" s="151"/>
      <c r="H167" s="151"/>
      <c r="I167" s="151"/>
      <c r="J167" s="152"/>
      <c r="K167" s="152"/>
      <c r="L167" s="152"/>
      <c r="M167" s="152"/>
      <c r="N167" s="150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customFormat="false" ht="11.25" hidden="false" customHeight="true" outlineLevel="0" collapsed="false">
      <c r="A168" s="89"/>
      <c r="B168" s="89"/>
      <c r="C168" s="89"/>
      <c r="D168" s="150"/>
      <c r="E168" s="152"/>
      <c r="F168" s="151"/>
      <c r="G168" s="151"/>
      <c r="H168" s="151"/>
      <c r="I168" s="151"/>
      <c r="J168" s="152"/>
      <c r="K168" s="152"/>
      <c r="L168" s="152"/>
      <c r="M168" s="152"/>
      <c r="N168" s="150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customFormat="false" ht="11.25" hidden="false" customHeight="true" outlineLevel="0" collapsed="false">
      <c r="A169" s="89"/>
      <c r="B169" s="89"/>
      <c r="C169" s="89"/>
      <c r="D169" s="150"/>
      <c r="E169" s="152"/>
      <c r="F169" s="151"/>
      <c r="G169" s="151"/>
      <c r="H169" s="151"/>
      <c r="I169" s="151"/>
      <c r="J169" s="152"/>
      <c r="K169" s="152"/>
      <c r="L169" s="152"/>
      <c r="M169" s="152"/>
      <c r="N169" s="150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customFormat="false" ht="11.25" hidden="false" customHeight="true" outlineLevel="0" collapsed="false">
      <c r="A170" s="89"/>
      <c r="B170" s="89"/>
      <c r="C170" s="89"/>
      <c r="D170" s="150"/>
      <c r="E170" s="152"/>
      <c r="F170" s="151"/>
      <c r="G170" s="151"/>
      <c r="H170" s="151"/>
      <c r="I170" s="151"/>
      <c r="J170" s="152"/>
      <c r="K170" s="152"/>
      <c r="L170" s="152"/>
      <c r="M170" s="152"/>
      <c r="N170" s="150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</row>
    <row r="171" customFormat="false" ht="11.25" hidden="false" customHeight="true" outlineLevel="0" collapsed="false">
      <c r="A171" s="89"/>
      <c r="B171" s="89"/>
      <c r="C171" s="89"/>
      <c r="D171" s="150"/>
      <c r="E171" s="152"/>
      <c r="F171" s="151"/>
      <c r="G171" s="151"/>
      <c r="H171" s="151"/>
      <c r="I171" s="151"/>
      <c r="J171" s="152"/>
      <c r="K171" s="152"/>
      <c r="L171" s="152"/>
      <c r="M171" s="152"/>
      <c r="N171" s="150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customFormat="false" ht="11.25" hidden="false" customHeight="true" outlineLevel="0" collapsed="false">
      <c r="A172" s="89"/>
      <c r="B172" s="89"/>
      <c r="C172" s="89"/>
      <c r="D172" s="150"/>
      <c r="E172" s="152"/>
      <c r="F172" s="151"/>
      <c r="G172" s="151"/>
      <c r="H172" s="151"/>
      <c r="I172" s="151"/>
      <c r="J172" s="152"/>
      <c r="K172" s="152"/>
      <c r="L172" s="152"/>
      <c r="M172" s="152"/>
      <c r="N172" s="150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customFormat="false" ht="11.25" hidden="false" customHeight="true" outlineLevel="0" collapsed="false">
      <c r="A173" s="89"/>
      <c r="B173" s="89"/>
      <c r="C173" s="89"/>
      <c r="D173" s="150"/>
      <c r="E173" s="152"/>
      <c r="F173" s="151"/>
      <c r="G173" s="151"/>
      <c r="H173" s="151"/>
      <c r="I173" s="151"/>
      <c r="J173" s="152"/>
      <c r="K173" s="152"/>
      <c r="L173" s="152"/>
      <c r="M173" s="152"/>
      <c r="N173" s="150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customFormat="false" ht="11.25" hidden="false" customHeight="true" outlineLevel="0" collapsed="false">
      <c r="A174" s="89"/>
      <c r="B174" s="89"/>
      <c r="C174" s="89"/>
      <c r="D174" s="150"/>
      <c r="E174" s="152"/>
      <c r="F174" s="151"/>
      <c r="G174" s="151"/>
      <c r="H174" s="151"/>
      <c r="I174" s="151"/>
      <c r="J174" s="152"/>
      <c r="K174" s="152"/>
      <c r="L174" s="152"/>
      <c r="M174" s="152"/>
      <c r="N174" s="150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customFormat="false" ht="11.25" hidden="false" customHeight="true" outlineLevel="0" collapsed="false">
      <c r="A175" s="89"/>
      <c r="B175" s="89"/>
      <c r="C175" s="89"/>
      <c r="D175" s="150"/>
      <c r="E175" s="152"/>
      <c r="F175" s="151"/>
      <c r="G175" s="151"/>
      <c r="H175" s="151"/>
      <c r="I175" s="151"/>
      <c r="J175" s="152"/>
      <c r="K175" s="152"/>
      <c r="L175" s="152"/>
      <c r="M175" s="152"/>
      <c r="N175" s="150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customFormat="false" ht="11.25" hidden="false" customHeight="true" outlineLevel="0" collapsed="false">
      <c r="A176" s="89"/>
      <c r="B176" s="89"/>
      <c r="C176" s="89"/>
      <c r="D176" s="150"/>
      <c r="E176" s="152"/>
      <c r="F176" s="151"/>
      <c r="G176" s="151"/>
      <c r="H176" s="151"/>
      <c r="I176" s="151"/>
      <c r="J176" s="152"/>
      <c r="K176" s="152"/>
      <c r="L176" s="152"/>
      <c r="M176" s="152"/>
      <c r="N176" s="150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customFormat="false" ht="11.25" hidden="false" customHeight="true" outlineLevel="0" collapsed="false">
      <c r="A177" s="89"/>
      <c r="B177" s="89"/>
      <c r="C177" s="89"/>
      <c r="D177" s="150"/>
      <c r="E177" s="152"/>
      <c r="F177" s="151"/>
      <c r="G177" s="151"/>
      <c r="H177" s="151"/>
      <c r="I177" s="151"/>
      <c r="J177" s="152"/>
      <c r="K177" s="152"/>
      <c r="L177" s="152"/>
      <c r="M177" s="152"/>
      <c r="N177" s="150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customFormat="false" ht="11.25" hidden="false" customHeight="true" outlineLevel="0" collapsed="false">
      <c r="A178" s="89"/>
      <c r="B178" s="89"/>
      <c r="C178" s="89"/>
      <c r="D178" s="150"/>
      <c r="E178" s="152"/>
      <c r="F178" s="151"/>
      <c r="G178" s="151"/>
      <c r="H178" s="151"/>
      <c r="I178" s="151"/>
      <c r="J178" s="152"/>
      <c r="K178" s="152"/>
      <c r="L178" s="152"/>
      <c r="M178" s="152"/>
      <c r="N178" s="150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customFormat="false" ht="11.25" hidden="false" customHeight="true" outlineLevel="0" collapsed="false">
      <c r="A179" s="89"/>
      <c r="B179" s="89"/>
      <c r="C179" s="89"/>
      <c r="D179" s="150"/>
      <c r="E179" s="152"/>
      <c r="F179" s="151"/>
      <c r="G179" s="151"/>
      <c r="H179" s="151"/>
      <c r="I179" s="151"/>
      <c r="J179" s="152"/>
      <c r="K179" s="152"/>
      <c r="L179" s="152"/>
      <c r="M179" s="152"/>
      <c r="N179" s="150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customFormat="false" ht="11.25" hidden="false" customHeight="true" outlineLevel="0" collapsed="false">
      <c r="A180" s="89"/>
      <c r="B180" s="89"/>
      <c r="C180" s="89"/>
      <c r="D180" s="150"/>
      <c r="E180" s="152"/>
      <c r="F180" s="151"/>
      <c r="G180" s="151"/>
      <c r="H180" s="151"/>
      <c r="I180" s="151"/>
      <c r="J180" s="152"/>
      <c r="K180" s="152"/>
      <c r="L180" s="152"/>
      <c r="M180" s="152"/>
      <c r="N180" s="150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customFormat="false" ht="11.25" hidden="false" customHeight="true" outlineLevel="0" collapsed="false">
      <c r="A181" s="89"/>
      <c r="B181" s="89"/>
      <c r="C181" s="89"/>
      <c r="D181" s="150"/>
      <c r="E181" s="152"/>
      <c r="F181" s="151"/>
      <c r="G181" s="151"/>
      <c r="H181" s="151"/>
      <c r="I181" s="151"/>
      <c r="J181" s="152"/>
      <c r="K181" s="152"/>
      <c r="L181" s="152"/>
      <c r="M181" s="152"/>
      <c r="N181" s="150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customFormat="false" ht="11.25" hidden="false" customHeight="true" outlineLevel="0" collapsed="false">
      <c r="A182" s="89"/>
      <c r="B182" s="89"/>
      <c r="C182" s="89"/>
      <c r="D182" s="150"/>
      <c r="E182" s="152"/>
      <c r="F182" s="151"/>
      <c r="G182" s="151"/>
      <c r="H182" s="151"/>
      <c r="I182" s="151"/>
      <c r="J182" s="152"/>
      <c r="K182" s="152"/>
      <c r="L182" s="152"/>
      <c r="M182" s="152"/>
      <c r="N182" s="150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customFormat="false" ht="11.25" hidden="false" customHeight="true" outlineLevel="0" collapsed="false">
      <c r="A183" s="89"/>
      <c r="B183" s="89"/>
      <c r="C183" s="89"/>
      <c r="D183" s="150"/>
      <c r="E183" s="152"/>
      <c r="F183" s="151"/>
      <c r="G183" s="151"/>
      <c r="H183" s="151"/>
      <c r="I183" s="151"/>
      <c r="J183" s="152"/>
      <c r="K183" s="152"/>
      <c r="L183" s="152"/>
      <c r="M183" s="152"/>
      <c r="N183" s="150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customFormat="false" ht="11.25" hidden="false" customHeight="true" outlineLevel="0" collapsed="false">
      <c r="A184" s="89"/>
      <c r="B184" s="89"/>
      <c r="C184" s="89"/>
      <c r="D184" s="150"/>
      <c r="E184" s="152"/>
      <c r="F184" s="151"/>
      <c r="G184" s="151"/>
      <c r="H184" s="151"/>
      <c r="I184" s="151"/>
      <c r="J184" s="152"/>
      <c r="K184" s="152"/>
      <c r="L184" s="152"/>
      <c r="M184" s="152"/>
      <c r="N184" s="150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customFormat="false" ht="11.25" hidden="false" customHeight="true" outlineLevel="0" collapsed="false">
      <c r="A185" s="89"/>
      <c r="B185" s="89"/>
      <c r="C185" s="89"/>
      <c r="D185" s="150"/>
      <c r="E185" s="152"/>
      <c r="F185" s="151"/>
      <c r="G185" s="151"/>
      <c r="H185" s="151"/>
      <c r="I185" s="151"/>
      <c r="J185" s="152"/>
      <c r="K185" s="152"/>
      <c r="L185" s="152"/>
      <c r="M185" s="152"/>
      <c r="N185" s="150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customFormat="false" ht="11.25" hidden="false" customHeight="true" outlineLevel="0" collapsed="false">
      <c r="A186" s="89"/>
      <c r="B186" s="89"/>
      <c r="C186" s="89"/>
      <c r="D186" s="150"/>
      <c r="E186" s="152"/>
      <c r="F186" s="151"/>
      <c r="G186" s="151"/>
      <c r="H186" s="151"/>
      <c r="I186" s="151"/>
      <c r="J186" s="152"/>
      <c r="K186" s="152"/>
      <c r="L186" s="152"/>
      <c r="M186" s="152"/>
      <c r="N186" s="150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customFormat="false" ht="11.25" hidden="false" customHeight="true" outlineLevel="0" collapsed="false">
      <c r="A187" s="89"/>
      <c r="B187" s="89"/>
      <c r="C187" s="89"/>
      <c r="D187" s="150"/>
      <c r="E187" s="152"/>
      <c r="F187" s="151"/>
      <c r="G187" s="151"/>
      <c r="H187" s="151"/>
      <c r="I187" s="151"/>
      <c r="J187" s="152"/>
      <c r="K187" s="152"/>
      <c r="L187" s="152"/>
      <c r="M187" s="152"/>
      <c r="N187" s="150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customFormat="false" ht="11.25" hidden="false" customHeight="true" outlineLevel="0" collapsed="false">
      <c r="A188" s="89"/>
      <c r="B188" s="89"/>
      <c r="C188" s="89"/>
      <c r="D188" s="150"/>
      <c r="E188" s="152"/>
      <c r="F188" s="151"/>
      <c r="G188" s="151"/>
      <c r="H188" s="151"/>
      <c r="I188" s="151"/>
      <c r="J188" s="152"/>
      <c r="K188" s="152"/>
      <c r="L188" s="152"/>
      <c r="M188" s="152"/>
      <c r="N188" s="150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customFormat="false" ht="11.25" hidden="false" customHeight="true" outlineLevel="0" collapsed="false">
      <c r="A189" s="89"/>
      <c r="B189" s="89"/>
      <c r="C189" s="89"/>
      <c r="D189" s="150"/>
      <c r="E189" s="152"/>
      <c r="F189" s="151"/>
      <c r="G189" s="151"/>
      <c r="H189" s="151"/>
      <c r="I189" s="151"/>
      <c r="J189" s="152"/>
      <c r="K189" s="152"/>
      <c r="L189" s="152"/>
      <c r="M189" s="152"/>
      <c r="N189" s="150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customFormat="false" ht="11.25" hidden="false" customHeight="true" outlineLevel="0" collapsed="false">
      <c r="A190" s="89"/>
      <c r="B190" s="89"/>
      <c r="C190" s="89"/>
      <c r="D190" s="150"/>
      <c r="E190" s="152"/>
      <c r="F190" s="151"/>
      <c r="G190" s="151"/>
      <c r="H190" s="151"/>
      <c r="I190" s="151"/>
      <c r="J190" s="152"/>
      <c r="K190" s="152"/>
      <c r="L190" s="152"/>
      <c r="M190" s="152"/>
      <c r="N190" s="150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customFormat="false" ht="11.25" hidden="false" customHeight="true" outlineLevel="0" collapsed="false">
      <c r="A191" s="89"/>
      <c r="B191" s="89"/>
      <c r="C191" s="89"/>
      <c r="D191" s="150"/>
      <c r="E191" s="152"/>
      <c r="F191" s="151"/>
      <c r="G191" s="151"/>
      <c r="H191" s="151"/>
      <c r="I191" s="151"/>
      <c r="J191" s="152"/>
      <c r="K191" s="152"/>
      <c r="L191" s="152"/>
      <c r="M191" s="152"/>
      <c r="N191" s="150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customFormat="false" ht="11.25" hidden="false" customHeight="true" outlineLevel="0" collapsed="false">
      <c r="A192" s="89"/>
      <c r="B192" s="89"/>
      <c r="C192" s="89"/>
      <c r="D192" s="150"/>
      <c r="E192" s="152"/>
      <c r="F192" s="151"/>
      <c r="G192" s="151"/>
      <c r="H192" s="151"/>
      <c r="I192" s="151"/>
      <c r="J192" s="152"/>
      <c r="K192" s="152"/>
      <c r="L192" s="152"/>
      <c r="M192" s="152"/>
      <c r="N192" s="150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customFormat="false" ht="11.25" hidden="false" customHeight="true" outlineLevel="0" collapsed="false">
      <c r="A193" s="89"/>
      <c r="B193" s="89"/>
      <c r="C193" s="89"/>
      <c r="D193" s="150"/>
      <c r="E193" s="152"/>
      <c r="F193" s="151"/>
      <c r="G193" s="151"/>
      <c r="H193" s="151"/>
      <c r="I193" s="151"/>
      <c r="J193" s="152"/>
      <c r="K193" s="152"/>
      <c r="L193" s="152"/>
      <c r="M193" s="152"/>
      <c r="N193" s="150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customFormat="false" ht="11.25" hidden="false" customHeight="true" outlineLevel="0" collapsed="false">
      <c r="A194" s="89"/>
      <c r="B194" s="89"/>
      <c r="C194" s="89"/>
      <c r="D194" s="150"/>
      <c r="E194" s="152"/>
      <c r="F194" s="151"/>
      <c r="G194" s="151"/>
      <c r="H194" s="151"/>
      <c r="I194" s="151"/>
      <c r="J194" s="152"/>
      <c r="K194" s="152"/>
      <c r="L194" s="152"/>
      <c r="M194" s="152"/>
      <c r="N194" s="150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customFormat="false" ht="11.25" hidden="false" customHeight="true" outlineLevel="0" collapsed="false">
      <c r="A195" s="89"/>
      <c r="B195" s="89"/>
      <c r="C195" s="89"/>
      <c r="D195" s="150"/>
      <c r="E195" s="152"/>
      <c r="F195" s="151"/>
      <c r="G195" s="151"/>
      <c r="H195" s="151"/>
      <c r="I195" s="151"/>
      <c r="J195" s="152"/>
      <c r="K195" s="152"/>
      <c r="L195" s="152"/>
      <c r="M195" s="152"/>
      <c r="N195" s="150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customFormat="false" ht="11.25" hidden="false" customHeight="true" outlineLevel="0" collapsed="false">
      <c r="A196" s="89"/>
      <c r="B196" s="89"/>
      <c r="C196" s="89"/>
      <c r="D196" s="150"/>
      <c r="E196" s="152"/>
      <c r="F196" s="151"/>
      <c r="G196" s="151"/>
      <c r="H196" s="151"/>
      <c r="I196" s="151"/>
      <c r="J196" s="152"/>
      <c r="K196" s="152"/>
      <c r="L196" s="152"/>
      <c r="M196" s="152"/>
      <c r="N196" s="150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</row>
    <row r="197" customFormat="false" ht="11.25" hidden="false" customHeight="true" outlineLevel="0" collapsed="false">
      <c r="A197" s="89"/>
      <c r="B197" s="89"/>
      <c r="C197" s="89"/>
      <c r="D197" s="150"/>
      <c r="E197" s="152"/>
      <c r="F197" s="151"/>
      <c r="G197" s="151"/>
      <c r="H197" s="151"/>
      <c r="I197" s="151"/>
      <c r="J197" s="152"/>
      <c r="K197" s="152"/>
      <c r="L197" s="152"/>
      <c r="M197" s="152"/>
      <c r="N197" s="150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customFormat="false" ht="11.25" hidden="false" customHeight="true" outlineLevel="0" collapsed="false">
      <c r="A198" s="89"/>
      <c r="B198" s="89"/>
      <c r="C198" s="89"/>
      <c r="D198" s="150"/>
      <c r="E198" s="152"/>
      <c r="F198" s="151"/>
      <c r="G198" s="151"/>
      <c r="H198" s="151"/>
      <c r="I198" s="151"/>
      <c r="J198" s="152"/>
      <c r="K198" s="152"/>
      <c r="L198" s="152"/>
      <c r="M198" s="152"/>
      <c r="N198" s="150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customFormat="false" ht="11.25" hidden="false" customHeight="true" outlineLevel="0" collapsed="false">
      <c r="A199" s="89"/>
      <c r="B199" s="89"/>
      <c r="C199" s="89"/>
      <c r="D199" s="150"/>
      <c r="E199" s="152"/>
      <c r="F199" s="151"/>
      <c r="G199" s="151"/>
      <c r="H199" s="151"/>
      <c r="I199" s="151"/>
      <c r="J199" s="152"/>
      <c r="K199" s="152"/>
      <c r="L199" s="152"/>
      <c r="M199" s="152"/>
      <c r="N199" s="150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customFormat="false" ht="11.25" hidden="false" customHeight="true" outlineLevel="0" collapsed="false">
      <c r="A200" s="89"/>
      <c r="B200" s="89"/>
      <c r="C200" s="89"/>
      <c r="D200" s="150"/>
      <c r="E200" s="152"/>
      <c r="F200" s="151"/>
      <c r="G200" s="151"/>
      <c r="H200" s="151"/>
      <c r="I200" s="151"/>
      <c r="J200" s="152"/>
      <c r="K200" s="152"/>
      <c r="L200" s="152"/>
      <c r="M200" s="152"/>
      <c r="N200" s="150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customFormat="false" ht="11.25" hidden="false" customHeight="true" outlineLevel="0" collapsed="false">
      <c r="A201" s="89"/>
      <c r="B201" s="89"/>
      <c r="C201" s="89"/>
      <c r="D201" s="150"/>
      <c r="E201" s="152"/>
      <c r="F201" s="151"/>
      <c r="G201" s="151"/>
      <c r="H201" s="151"/>
      <c r="I201" s="151"/>
      <c r="J201" s="152"/>
      <c r="K201" s="152"/>
      <c r="L201" s="152"/>
      <c r="M201" s="152"/>
      <c r="N201" s="150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customFormat="false" ht="11.25" hidden="false" customHeight="true" outlineLevel="0" collapsed="false">
      <c r="A202" s="89"/>
      <c r="B202" s="89"/>
      <c r="C202" s="89"/>
      <c r="D202" s="150"/>
      <c r="E202" s="152"/>
      <c r="F202" s="151"/>
      <c r="G202" s="151"/>
      <c r="H202" s="151"/>
      <c r="I202" s="151"/>
      <c r="J202" s="152"/>
      <c r="K202" s="152"/>
      <c r="L202" s="152"/>
      <c r="M202" s="152"/>
      <c r="N202" s="150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customFormat="false" ht="11.25" hidden="false" customHeight="true" outlineLevel="0" collapsed="false">
      <c r="A203" s="89"/>
      <c r="B203" s="89"/>
      <c r="C203" s="89"/>
      <c r="D203" s="150"/>
      <c r="E203" s="152"/>
      <c r="F203" s="151"/>
      <c r="G203" s="151"/>
      <c r="H203" s="151"/>
      <c r="I203" s="151"/>
      <c r="J203" s="152"/>
      <c r="K203" s="152"/>
      <c r="L203" s="152"/>
      <c r="M203" s="152"/>
      <c r="N203" s="150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customFormat="false" ht="11.25" hidden="false" customHeight="true" outlineLevel="0" collapsed="false">
      <c r="A204" s="89"/>
      <c r="B204" s="89"/>
      <c r="C204" s="89"/>
      <c r="D204" s="150"/>
      <c r="E204" s="152"/>
      <c r="F204" s="151"/>
      <c r="G204" s="151"/>
      <c r="H204" s="151"/>
      <c r="I204" s="151"/>
      <c r="J204" s="152"/>
      <c r="K204" s="152"/>
      <c r="L204" s="152"/>
      <c r="M204" s="152"/>
      <c r="N204" s="150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customFormat="false" ht="11.25" hidden="false" customHeight="true" outlineLevel="0" collapsed="false">
      <c r="A205" s="89"/>
      <c r="B205" s="89"/>
      <c r="C205" s="89"/>
      <c r="D205" s="150"/>
      <c r="E205" s="152"/>
      <c r="F205" s="151"/>
      <c r="G205" s="151"/>
      <c r="H205" s="151"/>
      <c r="I205" s="151"/>
      <c r="J205" s="152"/>
      <c r="K205" s="152"/>
      <c r="L205" s="152"/>
      <c r="M205" s="152"/>
      <c r="N205" s="150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customFormat="false" ht="11.25" hidden="false" customHeight="true" outlineLevel="0" collapsed="false">
      <c r="A206" s="89"/>
      <c r="B206" s="89"/>
      <c r="C206" s="89"/>
      <c r="D206" s="150"/>
      <c r="E206" s="152"/>
      <c r="F206" s="151"/>
      <c r="G206" s="151"/>
      <c r="H206" s="151"/>
      <c r="I206" s="151"/>
      <c r="J206" s="152"/>
      <c r="K206" s="152"/>
      <c r="L206" s="152"/>
      <c r="M206" s="152"/>
      <c r="N206" s="150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customFormat="false" ht="11.25" hidden="false" customHeight="true" outlineLevel="0" collapsed="false">
      <c r="A207" s="89"/>
      <c r="B207" s="89"/>
      <c r="C207" s="89"/>
      <c r="D207" s="150"/>
      <c r="E207" s="152"/>
      <c r="F207" s="151"/>
      <c r="G207" s="151"/>
      <c r="H207" s="151"/>
      <c r="I207" s="151"/>
      <c r="J207" s="152"/>
      <c r="K207" s="152"/>
      <c r="L207" s="152"/>
      <c r="M207" s="152"/>
      <c r="N207" s="150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customFormat="false" ht="11.25" hidden="false" customHeight="true" outlineLevel="0" collapsed="false">
      <c r="A208" s="89"/>
      <c r="B208" s="89"/>
      <c r="C208" s="89"/>
      <c r="D208" s="150"/>
      <c r="E208" s="152"/>
      <c r="F208" s="151"/>
      <c r="G208" s="151"/>
      <c r="H208" s="151"/>
      <c r="I208" s="151"/>
      <c r="J208" s="152"/>
      <c r="K208" s="152"/>
      <c r="L208" s="152"/>
      <c r="M208" s="152"/>
      <c r="N208" s="150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customFormat="false" ht="11.25" hidden="false" customHeight="true" outlineLevel="0" collapsed="false">
      <c r="A209" s="89"/>
      <c r="B209" s="89"/>
      <c r="C209" s="89"/>
      <c r="D209" s="150"/>
      <c r="E209" s="152"/>
      <c r="F209" s="151"/>
      <c r="G209" s="151"/>
      <c r="H209" s="151"/>
      <c r="I209" s="151"/>
      <c r="J209" s="152"/>
      <c r="K209" s="152"/>
      <c r="L209" s="152"/>
      <c r="M209" s="152"/>
      <c r="N209" s="150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customFormat="false" ht="11.25" hidden="false" customHeight="true" outlineLevel="0" collapsed="false">
      <c r="A210" s="89"/>
      <c r="B210" s="89"/>
      <c r="C210" s="89"/>
      <c r="D210" s="150"/>
      <c r="E210" s="152"/>
      <c r="F210" s="151"/>
      <c r="G210" s="151"/>
      <c r="H210" s="151"/>
      <c r="I210" s="151"/>
      <c r="J210" s="152"/>
      <c r="K210" s="152"/>
      <c r="L210" s="152"/>
      <c r="M210" s="152"/>
      <c r="N210" s="150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customFormat="false" ht="11.25" hidden="false" customHeight="true" outlineLevel="0" collapsed="false">
      <c r="A211" s="89"/>
      <c r="B211" s="89"/>
      <c r="C211" s="89"/>
      <c r="D211" s="150"/>
      <c r="E211" s="152"/>
      <c r="F211" s="151"/>
      <c r="G211" s="151"/>
      <c r="H211" s="151"/>
      <c r="I211" s="151"/>
      <c r="J211" s="152"/>
      <c r="K211" s="152"/>
      <c r="L211" s="152"/>
      <c r="M211" s="152"/>
      <c r="N211" s="150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customFormat="false" ht="11.25" hidden="false" customHeight="true" outlineLevel="0" collapsed="false">
      <c r="A212" s="89"/>
      <c r="B212" s="89"/>
      <c r="C212" s="89"/>
      <c r="D212" s="150"/>
      <c r="E212" s="152"/>
      <c r="F212" s="151"/>
      <c r="G212" s="151"/>
      <c r="H212" s="151"/>
      <c r="I212" s="151"/>
      <c r="J212" s="152"/>
      <c r="K212" s="152"/>
      <c r="L212" s="152"/>
      <c r="M212" s="152"/>
      <c r="N212" s="150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customFormat="false" ht="11.25" hidden="false" customHeight="true" outlineLevel="0" collapsed="false">
      <c r="A213" s="89"/>
      <c r="B213" s="89"/>
      <c r="C213" s="89"/>
      <c r="D213" s="150"/>
      <c r="E213" s="152"/>
      <c r="F213" s="151"/>
      <c r="G213" s="151"/>
      <c r="H213" s="151"/>
      <c r="I213" s="151"/>
      <c r="J213" s="152"/>
      <c r="K213" s="152"/>
      <c r="L213" s="152"/>
      <c r="M213" s="152"/>
      <c r="N213" s="150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customFormat="false" ht="11.25" hidden="false" customHeight="true" outlineLevel="0" collapsed="false">
      <c r="A214" s="89"/>
      <c r="B214" s="89"/>
      <c r="C214" s="89"/>
      <c r="D214" s="150"/>
      <c r="E214" s="152"/>
      <c r="F214" s="151"/>
      <c r="G214" s="151"/>
      <c r="H214" s="151"/>
      <c r="I214" s="151"/>
      <c r="J214" s="152"/>
      <c r="K214" s="152"/>
      <c r="L214" s="152"/>
      <c r="M214" s="152"/>
      <c r="N214" s="150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customFormat="false" ht="11.25" hidden="false" customHeight="true" outlineLevel="0" collapsed="false">
      <c r="A215" s="89"/>
      <c r="B215" s="89"/>
      <c r="C215" s="89"/>
      <c r="D215" s="150"/>
      <c r="E215" s="152"/>
      <c r="F215" s="151"/>
      <c r="G215" s="151"/>
      <c r="H215" s="151"/>
      <c r="I215" s="151"/>
      <c r="J215" s="152"/>
      <c r="K215" s="152"/>
      <c r="L215" s="152"/>
      <c r="M215" s="152"/>
      <c r="N215" s="150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customFormat="false" ht="11.25" hidden="false" customHeight="true" outlineLevel="0" collapsed="false">
      <c r="A216" s="89"/>
      <c r="B216" s="89"/>
      <c r="C216" s="89"/>
      <c r="D216" s="150"/>
      <c r="E216" s="152"/>
      <c r="F216" s="151"/>
      <c r="G216" s="151"/>
      <c r="H216" s="151"/>
      <c r="I216" s="151"/>
      <c r="J216" s="152"/>
      <c r="K216" s="152"/>
      <c r="L216" s="152"/>
      <c r="M216" s="152"/>
      <c r="N216" s="150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customFormat="false" ht="11.25" hidden="false" customHeight="true" outlineLevel="0" collapsed="false">
      <c r="A217" s="89"/>
      <c r="B217" s="89"/>
      <c r="C217" s="89"/>
      <c r="D217" s="150"/>
      <c r="E217" s="152"/>
      <c r="F217" s="151"/>
      <c r="G217" s="151"/>
      <c r="H217" s="151"/>
      <c r="I217" s="151"/>
      <c r="J217" s="152"/>
      <c r="K217" s="152"/>
      <c r="L217" s="152"/>
      <c r="M217" s="152"/>
      <c r="N217" s="150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customFormat="false" ht="11.25" hidden="false" customHeight="true" outlineLevel="0" collapsed="false">
      <c r="A218" s="89"/>
      <c r="B218" s="89"/>
      <c r="C218" s="89"/>
      <c r="D218" s="150"/>
      <c r="E218" s="152"/>
      <c r="F218" s="151"/>
      <c r="G218" s="151"/>
      <c r="H218" s="151"/>
      <c r="I218" s="151"/>
      <c r="J218" s="152"/>
      <c r="K218" s="152"/>
      <c r="L218" s="152"/>
      <c r="M218" s="152"/>
      <c r="N218" s="150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customFormat="false" ht="11.25" hidden="false" customHeight="true" outlineLevel="0" collapsed="false">
      <c r="A219" s="89"/>
      <c r="B219" s="89"/>
      <c r="C219" s="89"/>
      <c r="D219" s="150"/>
      <c r="E219" s="152"/>
      <c r="F219" s="151"/>
      <c r="G219" s="151"/>
      <c r="H219" s="151"/>
      <c r="I219" s="151"/>
      <c r="J219" s="152"/>
      <c r="K219" s="152"/>
      <c r="L219" s="152"/>
      <c r="M219" s="152"/>
      <c r="N219" s="150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customFormat="false" ht="11.25" hidden="false" customHeight="true" outlineLevel="0" collapsed="false">
      <c r="A220" s="89"/>
      <c r="B220" s="89"/>
      <c r="C220" s="89"/>
      <c r="D220" s="150"/>
      <c r="E220" s="152"/>
      <c r="F220" s="151"/>
      <c r="G220" s="151"/>
      <c r="H220" s="151"/>
      <c r="I220" s="151"/>
      <c r="J220" s="152"/>
      <c r="K220" s="152"/>
      <c r="L220" s="152"/>
      <c r="M220" s="152"/>
      <c r="N220" s="150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customFormat="false" ht="11.25" hidden="false" customHeight="true" outlineLevel="0" collapsed="false">
      <c r="A221" s="89"/>
      <c r="B221" s="89"/>
      <c r="C221" s="89"/>
      <c r="D221" s="150"/>
      <c r="E221" s="152"/>
      <c r="F221" s="151"/>
      <c r="G221" s="151"/>
      <c r="H221" s="151"/>
      <c r="I221" s="151"/>
      <c r="J221" s="152"/>
      <c r="K221" s="152"/>
      <c r="L221" s="152"/>
      <c r="M221" s="152"/>
      <c r="N221" s="150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</row>
    <row r="222" customFormat="false" ht="11.25" hidden="false" customHeight="true" outlineLevel="0" collapsed="false">
      <c r="A222" s="89"/>
      <c r="B222" s="89"/>
      <c r="C222" s="89"/>
      <c r="D222" s="150"/>
      <c r="E222" s="152"/>
      <c r="F222" s="151"/>
      <c r="G222" s="151"/>
      <c r="H222" s="151"/>
      <c r="I222" s="151"/>
      <c r="J222" s="152"/>
      <c r="K222" s="152"/>
      <c r="L222" s="152"/>
      <c r="M222" s="152"/>
      <c r="N222" s="150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</row>
    <row r="223" customFormat="false" ht="11.25" hidden="false" customHeight="true" outlineLevel="0" collapsed="false">
      <c r="A223" s="89"/>
      <c r="B223" s="89"/>
      <c r="C223" s="89"/>
      <c r="D223" s="150"/>
      <c r="E223" s="152"/>
      <c r="F223" s="151"/>
      <c r="G223" s="151"/>
      <c r="H223" s="151"/>
      <c r="I223" s="151"/>
      <c r="J223" s="152"/>
      <c r="K223" s="152"/>
      <c r="L223" s="152"/>
      <c r="M223" s="152"/>
      <c r="N223" s="150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</row>
    <row r="224" customFormat="false" ht="11.25" hidden="false" customHeight="true" outlineLevel="0" collapsed="false">
      <c r="A224" s="89"/>
      <c r="B224" s="89"/>
      <c r="C224" s="89"/>
      <c r="D224" s="150"/>
      <c r="E224" s="152"/>
      <c r="F224" s="151"/>
      <c r="G224" s="151"/>
      <c r="H224" s="151"/>
      <c r="I224" s="151"/>
      <c r="J224" s="152"/>
      <c r="K224" s="152"/>
      <c r="L224" s="152"/>
      <c r="M224" s="152"/>
      <c r="N224" s="150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</row>
    <row r="225" customFormat="false" ht="11.25" hidden="false" customHeight="true" outlineLevel="0" collapsed="false">
      <c r="A225" s="89"/>
      <c r="B225" s="89"/>
      <c r="C225" s="89"/>
      <c r="D225" s="150"/>
      <c r="E225" s="152"/>
      <c r="F225" s="151"/>
      <c r="G225" s="151"/>
      <c r="H225" s="151"/>
      <c r="I225" s="151"/>
      <c r="J225" s="152"/>
      <c r="K225" s="152"/>
      <c r="L225" s="152"/>
      <c r="M225" s="152"/>
      <c r="N225" s="150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</row>
    <row r="226" customFormat="false" ht="11.25" hidden="false" customHeight="true" outlineLevel="0" collapsed="false">
      <c r="A226" s="89"/>
      <c r="B226" s="89"/>
      <c r="C226" s="89"/>
      <c r="D226" s="150"/>
      <c r="E226" s="152"/>
      <c r="F226" s="151"/>
      <c r="G226" s="151"/>
      <c r="H226" s="151"/>
      <c r="I226" s="151"/>
      <c r="J226" s="152"/>
      <c r="K226" s="152"/>
      <c r="L226" s="152"/>
      <c r="M226" s="152"/>
      <c r="N226" s="150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</row>
    <row r="227" customFormat="false" ht="11.25" hidden="false" customHeight="true" outlineLevel="0" collapsed="false">
      <c r="A227" s="89"/>
      <c r="B227" s="89"/>
      <c r="C227" s="89"/>
      <c r="D227" s="150"/>
      <c r="E227" s="152"/>
      <c r="F227" s="151"/>
      <c r="G227" s="151"/>
      <c r="H227" s="151"/>
      <c r="I227" s="151"/>
      <c r="J227" s="152"/>
      <c r="K227" s="152"/>
      <c r="L227" s="152"/>
      <c r="M227" s="152"/>
      <c r="N227" s="150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</row>
    <row r="228" customFormat="false" ht="11.25" hidden="false" customHeight="true" outlineLevel="0" collapsed="false">
      <c r="A228" s="89"/>
      <c r="B228" s="89"/>
      <c r="C228" s="89"/>
      <c r="D228" s="150"/>
      <c r="E228" s="152"/>
      <c r="F228" s="151"/>
      <c r="G228" s="151"/>
      <c r="H228" s="151"/>
      <c r="I228" s="151"/>
      <c r="J228" s="152"/>
      <c r="K228" s="152"/>
      <c r="L228" s="152"/>
      <c r="M228" s="152"/>
      <c r="N228" s="150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</row>
    <row r="229" customFormat="false" ht="11.25" hidden="false" customHeight="true" outlineLevel="0" collapsed="false">
      <c r="A229" s="89"/>
      <c r="B229" s="89"/>
      <c r="C229" s="89"/>
      <c r="D229" s="150"/>
      <c r="E229" s="152"/>
      <c r="F229" s="151"/>
      <c r="G229" s="151"/>
      <c r="H229" s="151"/>
      <c r="I229" s="151"/>
      <c r="J229" s="152"/>
      <c r="K229" s="152"/>
      <c r="L229" s="152"/>
      <c r="M229" s="152"/>
      <c r="N229" s="150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</row>
    <row r="230" customFormat="false" ht="11.25" hidden="false" customHeight="true" outlineLevel="0" collapsed="false">
      <c r="A230" s="89"/>
      <c r="B230" s="89"/>
      <c r="C230" s="89"/>
      <c r="D230" s="150"/>
      <c r="E230" s="152"/>
      <c r="F230" s="151"/>
      <c r="G230" s="151"/>
      <c r="H230" s="151"/>
      <c r="I230" s="151"/>
      <c r="J230" s="152"/>
      <c r="K230" s="152"/>
      <c r="L230" s="152"/>
      <c r="M230" s="152"/>
      <c r="N230" s="150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</row>
    <row r="231" customFormat="false" ht="11.25" hidden="false" customHeight="true" outlineLevel="0" collapsed="false">
      <c r="A231" s="89"/>
      <c r="B231" s="89"/>
      <c r="C231" s="89"/>
      <c r="D231" s="150"/>
      <c r="E231" s="152"/>
      <c r="F231" s="151"/>
      <c r="G231" s="151"/>
      <c r="H231" s="151"/>
      <c r="I231" s="151"/>
      <c r="J231" s="152"/>
      <c r="K231" s="152"/>
      <c r="L231" s="152"/>
      <c r="M231" s="152"/>
      <c r="N231" s="150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</row>
    <row r="232" customFormat="false" ht="11.25" hidden="false" customHeight="true" outlineLevel="0" collapsed="false">
      <c r="A232" s="89"/>
      <c r="B232" s="89"/>
      <c r="C232" s="89"/>
      <c r="D232" s="150"/>
      <c r="E232" s="152"/>
      <c r="F232" s="151"/>
      <c r="G232" s="151"/>
      <c r="H232" s="151"/>
      <c r="I232" s="151"/>
      <c r="J232" s="152"/>
      <c r="K232" s="152"/>
      <c r="L232" s="152"/>
      <c r="M232" s="152"/>
      <c r="N232" s="150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</row>
    <row r="233" customFormat="false" ht="11.25" hidden="false" customHeight="true" outlineLevel="0" collapsed="false">
      <c r="A233" s="89"/>
      <c r="B233" s="89"/>
      <c r="C233" s="89"/>
      <c r="D233" s="150"/>
      <c r="E233" s="152"/>
      <c r="F233" s="151"/>
      <c r="G233" s="151"/>
      <c r="H233" s="151"/>
      <c r="I233" s="151"/>
      <c r="J233" s="152"/>
      <c r="K233" s="152"/>
      <c r="L233" s="152"/>
      <c r="M233" s="152"/>
      <c r="N233" s="150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</row>
    <row r="234" customFormat="false" ht="11.25" hidden="false" customHeight="true" outlineLevel="0" collapsed="false">
      <c r="A234" s="89"/>
      <c r="B234" s="89"/>
      <c r="C234" s="89"/>
      <c r="D234" s="150"/>
      <c r="E234" s="152"/>
      <c r="F234" s="151"/>
      <c r="G234" s="151"/>
      <c r="H234" s="151"/>
      <c r="I234" s="151"/>
      <c r="J234" s="152"/>
      <c r="K234" s="152"/>
      <c r="L234" s="152"/>
      <c r="M234" s="152"/>
      <c r="N234" s="150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</row>
    <row r="235" customFormat="false" ht="11.25" hidden="false" customHeight="true" outlineLevel="0" collapsed="false">
      <c r="A235" s="89"/>
      <c r="B235" s="89"/>
      <c r="C235" s="89"/>
      <c r="D235" s="150"/>
      <c r="E235" s="152"/>
      <c r="F235" s="151"/>
      <c r="G235" s="151"/>
      <c r="H235" s="151"/>
      <c r="I235" s="151"/>
      <c r="J235" s="152"/>
      <c r="K235" s="152"/>
      <c r="L235" s="152"/>
      <c r="M235" s="152"/>
      <c r="N235" s="150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</row>
    <row r="236" customFormat="false" ht="11.25" hidden="false" customHeight="true" outlineLevel="0" collapsed="false">
      <c r="A236" s="89"/>
      <c r="B236" s="89"/>
      <c r="C236" s="89"/>
      <c r="D236" s="150"/>
      <c r="E236" s="152"/>
      <c r="F236" s="151"/>
      <c r="G236" s="151"/>
      <c r="H236" s="151"/>
      <c r="I236" s="151"/>
      <c r="J236" s="152"/>
      <c r="K236" s="152"/>
      <c r="L236" s="152"/>
      <c r="M236" s="152"/>
      <c r="N236" s="150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</row>
    <row r="237" customFormat="false" ht="11.25" hidden="false" customHeight="true" outlineLevel="0" collapsed="false">
      <c r="A237" s="89"/>
      <c r="B237" s="89"/>
      <c r="C237" s="89"/>
      <c r="D237" s="150"/>
      <c r="E237" s="152"/>
      <c r="F237" s="151"/>
      <c r="G237" s="151"/>
      <c r="H237" s="151"/>
      <c r="I237" s="151"/>
      <c r="J237" s="152"/>
      <c r="K237" s="152"/>
      <c r="L237" s="152"/>
      <c r="M237" s="152"/>
      <c r="N237" s="150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</row>
    <row r="238" customFormat="false" ht="11.25" hidden="false" customHeight="true" outlineLevel="0" collapsed="false">
      <c r="A238" s="89"/>
      <c r="B238" s="89"/>
      <c r="C238" s="89"/>
      <c r="D238" s="150"/>
      <c r="E238" s="152"/>
      <c r="F238" s="151"/>
      <c r="G238" s="151"/>
      <c r="H238" s="151"/>
      <c r="I238" s="151"/>
      <c r="J238" s="152"/>
      <c r="K238" s="152"/>
      <c r="L238" s="152"/>
      <c r="M238" s="152"/>
      <c r="N238" s="150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</row>
    <row r="239" customFormat="false" ht="11.25" hidden="false" customHeight="true" outlineLevel="0" collapsed="false">
      <c r="A239" s="89"/>
      <c r="B239" s="89"/>
      <c r="C239" s="89"/>
      <c r="D239" s="150"/>
      <c r="E239" s="152"/>
      <c r="F239" s="151"/>
      <c r="G239" s="151"/>
      <c r="H239" s="151"/>
      <c r="I239" s="151"/>
      <c r="J239" s="152"/>
      <c r="K239" s="152"/>
      <c r="L239" s="152"/>
      <c r="M239" s="152"/>
      <c r="N239" s="150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</row>
    <row r="240" customFormat="false" ht="11.25" hidden="false" customHeight="true" outlineLevel="0" collapsed="false">
      <c r="A240" s="89"/>
      <c r="B240" s="89"/>
      <c r="C240" s="89"/>
      <c r="D240" s="150"/>
      <c r="E240" s="152"/>
      <c r="F240" s="151"/>
      <c r="G240" s="151"/>
      <c r="H240" s="151"/>
      <c r="I240" s="151"/>
      <c r="J240" s="152"/>
      <c r="K240" s="152"/>
      <c r="L240" s="152"/>
      <c r="M240" s="152"/>
      <c r="N240" s="150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</row>
    <row r="241" customFormat="false" ht="11.25" hidden="false" customHeight="true" outlineLevel="0" collapsed="false">
      <c r="A241" s="89"/>
      <c r="B241" s="89"/>
      <c r="C241" s="89"/>
      <c r="D241" s="150"/>
      <c r="E241" s="152"/>
      <c r="F241" s="151"/>
      <c r="G241" s="151"/>
      <c r="H241" s="151"/>
      <c r="I241" s="151"/>
      <c r="J241" s="152"/>
      <c r="K241" s="152"/>
      <c r="L241" s="152"/>
      <c r="M241" s="152"/>
      <c r="N241" s="150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</row>
    <row r="242" customFormat="false" ht="11.25" hidden="false" customHeight="true" outlineLevel="0" collapsed="false">
      <c r="A242" s="89"/>
      <c r="B242" s="89"/>
      <c r="C242" s="89"/>
      <c r="D242" s="150"/>
      <c r="E242" s="152"/>
      <c r="F242" s="151"/>
      <c r="G242" s="151"/>
      <c r="H242" s="151"/>
      <c r="I242" s="151"/>
      <c r="J242" s="152"/>
      <c r="K242" s="152"/>
      <c r="L242" s="152"/>
      <c r="M242" s="152"/>
      <c r="N242" s="150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</row>
    <row r="243" customFormat="false" ht="11.25" hidden="false" customHeight="true" outlineLevel="0" collapsed="false">
      <c r="A243" s="89"/>
      <c r="B243" s="89"/>
      <c r="C243" s="89"/>
      <c r="D243" s="150"/>
      <c r="E243" s="152"/>
      <c r="F243" s="151"/>
      <c r="G243" s="151"/>
      <c r="H243" s="151"/>
      <c r="I243" s="151"/>
      <c r="J243" s="152"/>
      <c r="K243" s="152"/>
      <c r="L243" s="152"/>
      <c r="M243" s="152"/>
      <c r="N243" s="150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</row>
    <row r="244" customFormat="false" ht="11.25" hidden="false" customHeight="true" outlineLevel="0" collapsed="false">
      <c r="A244" s="89"/>
      <c r="B244" s="89"/>
      <c r="C244" s="89"/>
      <c r="D244" s="150"/>
      <c r="E244" s="152"/>
      <c r="F244" s="151"/>
      <c r="G244" s="151"/>
      <c r="H244" s="151"/>
      <c r="I244" s="151"/>
      <c r="J244" s="152"/>
      <c r="K244" s="152"/>
      <c r="L244" s="152"/>
      <c r="M244" s="152"/>
      <c r="N244" s="150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</row>
    <row r="245" customFormat="false" ht="11.25" hidden="false" customHeight="true" outlineLevel="0" collapsed="false">
      <c r="A245" s="89"/>
      <c r="B245" s="89"/>
      <c r="C245" s="89"/>
      <c r="D245" s="150"/>
      <c r="E245" s="152"/>
      <c r="F245" s="151"/>
      <c r="G245" s="151"/>
      <c r="H245" s="151"/>
      <c r="I245" s="151"/>
      <c r="J245" s="152"/>
      <c r="K245" s="152"/>
      <c r="L245" s="152"/>
      <c r="M245" s="152"/>
      <c r="N245" s="150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</row>
    <row r="246" customFormat="false" ht="11.25" hidden="false" customHeight="true" outlineLevel="0" collapsed="false">
      <c r="A246" s="89"/>
      <c r="B246" s="89"/>
      <c r="C246" s="89"/>
      <c r="D246" s="150"/>
      <c r="E246" s="152"/>
      <c r="F246" s="151"/>
      <c r="G246" s="151"/>
      <c r="H246" s="151"/>
      <c r="I246" s="151"/>
      <c r="J246" s="152"/>
      <c r="K246" s="152"/>
      <c r="L246" s="152"/>
      <c r="M246" s="152"/>
      <c r="N246" s="150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</row>
    <row r="247" customFormat="false" ht="11.25" hidden="false" customHeight="true" outlineLevel="0" collapsed="false">
      <c r="A247" s="89"/>
      <c r="B247" s="89"/>
      <c r="C247" s="89"/>
      <c r="D247" s="150"/>
      <c r="E247" s="152"/>
      <c r="F247" s="151"/>
      <c r="G247" s="151"/>
      <c r="H247" s="151"/>
      <c r="I247" s="151"/>
      <c r="J247" s="152"/>
      <c r="K247" s="152"/>
      <c r="L247" s="152"/>
      <c r="M247" s="152"/>
      <c r="N247" s="150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</row>
    <row r="248" customFormat="false" ht="11.25" hidden="false" customHeight="true" outlineLevel="0" collapsed="false">
      <c r="A248" s="89"/>
      <c r="B248" s="89"/>
      <c r="C248" s="89"/>
      <c r="D248" s="150"/>
      <c r="E248" s="152"/>
      <c r="F248" s="151"/>
      <c r="G248" s="151"/>
      <c r="H248" s="151"/>
      <c r="I248" s="151"/>
      <c r="J248" s="152"/>
      <c r="K248" s="152"/>
      <c r="L248" s="152"/>
      <c r="M248" s="152"/>
      <c r="N248" s="150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</row>
    <row r="249" customFormat="false" ht="11.25" hidden="false" customHeight="true" outlineLevel="0" collapsed="false">
      <c r="A249" s="89"/>
      <c r="B249" s="89"/>
      <c r="C249" s="89"/>
      <c r="D249" s="150"/>
      <c r="E249" s="152"/>
      <c r="F249" s="151"/>
      <c r="G249" s="151"/>
      <c r="H249" s="151"/>
      <c r="I249" s="151"/>
      <c r="J249" s="152"/>
      <c r="K249" s="152"/>
      <c r="L249" s="152"/>
      <c r="M249" s="152"/>
      <c r="N249" s="150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</row>
    <row r="250" customFormat="false" ht="11.25" hidden="false" customHeight="true" outlineLevel="0" collapsed="false">
      <c r="A250" s="89"/>
      <c r="B250" s="89"/>
      <c r="C250" s="89"/>
      <c r="D250" s="150"/>
      <c r="E250" s="152"/>
      <c r="F250" s="151"/>
      <c r="G250" s="151"/>
      <c r="H250" s="151"/>
      <c r="I250" s="151"/>
      <c r="J250" s="152"/>
      <c r="K250" s="152"/>
      <c r="L250" s="152"/>
      <c r="M250" s="152"/>
      <c r="N250" s="150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</row>
    <row r="251" customFormat="false" ht="11.25" hidden="false" customHeight="true" outlineLevel="0" collapsed="false">
      <c r="A251" s="89"/>
      <c r="B251" s="89"/>
      <c r="C251" s="89"/>
      <c r="D251" s="150"/>
      <c r="E251" s="152"/>
      <c r="F251" s="151"/>
      <c r="G251" s="151"/>
      <c r="H251" s="151"/>
      <c r="I251" s="151"/>
      <c r="J251" s="152"/>
      <c r="K251" s="152"/>
      <c r="L251" s="152"/>
      <c r="M251" s="152"/>
      <c r="N251" s="150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</row>
    <row r="252" customFormat="false" ht="11.25" hidden="false" customHeight="true" outlineLevel="0" collapsed="false">
      <c r="A252" s="89"/>
      <c r="B252" s="89"/>
      <c r="C252" s="89"/>
      <c r="D252" s="150"/>
      <c r="E252" s="152"/>
      <c r="F252" s="151"/>
      <c r="G252" s="151"/>
      <c r="H252" s="151"/>
      <c r="I252" s="151"/>
      <c r="J252" s="152"/>
      <c r="K252" s="152"/>
      <c r="L252" s="152"/>
      <c r="M252" s="152"/>
      <c r="N252" s="150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</row>
    <row r="253" customFormat="false" ht="11.25" hidden="false" customHeight="true" outlineLevel="0" collapsed="false">
      <c r="A253" s="89"/>
      <c r="B253" s="89"/>
      <c r="C253" s="89"/>
      <c r="D253" s="150"/>
      <c r="E253" s="152"/>
      <c r="F253" s="151"/>
      <c r="G253" s="151"/>
      <c r="H253" s="151"/>
      <c r="I253" s="151"/>
      <c r="J253" s="152"/>
      <c r="K253" s="152"/>
      <c r="L253" s="152"/>
      <c r="M253" s="152"/>
      <c r="N253" s="150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</row>
    <row r="254" customFormat="false" ht="11.25" hidden="false" customHeight="true" outlineLevel="0" collapsed="false">
      <c r="A254" s="89"/>
      <c r="B254" s="89"/>
      <c r="C254" s="89"/>
      <c r="D254" s="150"/>
      <c r="E254" s="152"/>
      <c r="F254" s="151"/>
      <c r="G254" s="151"/>
      <c r="H254" s="151"/>
      <c r="I254" s="151"/>
      <c r="J254" s="152"/>
      <c r="K254" s="152"/>
      <c r="L254" s="152"/>
      <c r="M254" s="152"/>
      <c r="N254" s="150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</row>
    <row r="255" customFormat="false" ht="11.25" hidden="false" customHeight="true" outlineLevel="0" collapsed="false">
      <c r="A255" s="89"/>
      <c r="B255" s="89"/>
      <c r="C255" s="89"/>
      <c r="D255" s="150"/>
      <c r="E255" s="152"/>
      <c r="F255" s="151"/>
      <c r="G255" s="151"/>
      <c r="H255" s="151"/>
      <c r="I255" s="151"/>
      <c r="J255" s="152"/>
      <c r="K255" s="152"/>
      <c r="L255" s="152"/>
      <c r="M255" s="152"/>
      <c r="N255" s="150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</row>
    <row r="256" customFormat="false" ht="11.25" hidden="false" customHeight="true" outlineLevel="0" collapsed="false">
      <c r="A256" s="89"/>
      <c r="B256" s="89"/>
      <c r="C256" s="89"/>
      <c r="D256" s="150"/>
      <c r="E256" s="152"/>
      <c r="F256" s="151"/>
      <c r="G256" s="151"/>
      <c r="H256" s="151"/>
      <c r="I256" s="151"/>
      <c r="J256" s="152"/>
      <c r="K256" s="152"/>
      <c r="L256" s="152"/>
      <c r="M256" s="152"/>
      <c r="N256" s="150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</row>
    <row r="257" customFormat="false" ht="11.25" hidden="false" customHeight="true" outlineLevel="0" collapsed="false">
      <c r="A257" s="89"/>
      <c r="B257" s="89"/>
      <c r="C257" s="89"/>
      <c r="D257" s="150"/>
      <c r="E257" s="152"/>
      <c r="F257" s="151"/>
      <c r="G257" s="151"/>
      <c r="H257" s="151"/>
      <c r="I257" s="151"/>
      <c r="J257" s="152"/>
      <c r="K257" s="152"/>
      <c r="L257" s="152"/>
      <c r="M257" s="152"/>
      <c r="N257" s="150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</row>
    <row r="258" customFormat="false" ht="11.25" hidden="false" customHeight="true" outlineLevel="0" collapsed="false">
      <c r="A258" s="89"/>
      <c r="B258" s="89"/>
      <c r="C258" s="89"/>
      <c r="D258" s="150"/>
      <c r="E258" s="152"/>
      <c r="F258" s="151"/>
      <c r="G258" s="151"/>
      <c r="H258" s="151"/>
      <c r="I258" s="151"/>
      <c r="J258" s="152"/>
      <c r="K258" s="152"/>
      <c r="L258" s="152"/>
      <c r="M258" s="152"/>
      <c r="N258" s="150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</row>
    <row r="259" customFormat="false" ht="11.25" hidden="false" customHeight="true" outlineLevel="0" collapsed="false">
      <c r="A259" s="89"/>
      <c r="B259" s="89"/>
      <c r="C259" s="89"/>
      <c r="D259" s="150"/>
      <c r="E259" s="152"/>
      <c r="F259" s="151"/>
      <c r="G259" s="151"/>
      <c r="H259" s="151"/>
      <c r="I259" s="151"/>
      <c r="J259" s="152"/>
      <c r="K259" s="152"/>
      <c r="L259" s="152"/>
      <c r="M259" s="152"/>
      <c r="N259" s="150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</row>
    <row r="260" customFormat="false" ht="11.25" hidden="false" customHeight="true" outlineLevel="0" collapsed="false">
      <c r="A260" s="89"/>
      <c r="B260" s="89"/>
      <c r="C260" s="89"/>
      <c r="D260" s="150"/>
      <c r="E260" s="152"/>
      <c r="F260" s="151"/>
      <c r="G260" s="151"/>
      <c r="H260" s="151"/>
      <c r="I260" s="151"/>
      <c r="J260" s="152"/>
      <c r="K260" s="152"/>
      <c r="L260" s="152"/>
      <c r="M260" s="152"/>
      <c r="N260" s="150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</row>
    <row r="261" customFormat="false" ht="11.25" hidden="false" customHeight="true" outlineLevel="0" collapsed="false">
      <c r="A261" s="89"/>
      <c r="B261" s="89"/>
      <c r="C261" s="89"/>
      <c r="D261" s="150"/>
      <c r="E261" s="152"/>
      <c r="F261" s="151"/>
      <c r="G261" s="151"/>
      <c r="H261" s="151"/>
      <c r="I261" s="151"/>
      <c r="J261" s="152"/>
      <c r="K261" s="152"/>
      <c r="L261" s="152"/>
      <c r="M261" s="152"/>
      <c r="N261" s="150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</row>
    <row r="262" customFormat="false" ht="11.25" hidden="false" customHeight="true" outlineLevel="0" collapsed="false">
      <c r="A262" s="89"/>
      <c r="B262" s="89"/>
      <c r="C262" s="89"/>
      <c r="D262" s="150"/>
      <c r="E262" s="152"/>
      <c r="F262" s="151"/>
      <c r="G262" s="151"/>
      <c r="H262" s="151"/>
      <c r="I262" s="151"/>
      <c r="J262" s="152"/>
      <c r="K262" s="152"/>
      <c r="L262" s="152"/>
      <c r="M262" s="152"/>
      <c r="N262" s="150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</row>
    <row r="263" customFormat="false" ht="11.25" hidden="false" customHeight="true" outlineLevel="0" collapsed="false">
      <c r="A263" s="89"/>
      <c r="B263" s="89"/>
      <c r="C263" s="89"/>
      <c r="D263" s="150"/>
      <c r="E263" s="152"/>
      <c r="F263" s="151"/>
      <c r="G263" s="151"/>
      <c r="H263" s="151"/>
      <c r="I263" s="151"/>
      <c r="J263" s="152"/>
      <c r="K263" s="152"/>
      <c r="L263" s="152"/>
      <c r="M263" s="152"/>
      <c r="N263" s="150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</row>
    <row r="264" customFormat="false" ht="11.25" hidden="false" customHeight="true" outlineLevel="0" collapsed="false">
      <c r="A264" s="89"/>
      <c r="B264" s="89"/>
      <c r="C264" s="89"/>
      <c r="D264" s="150"/>
      <c r="E264" s="152"/>
      <c r="F264" s="151"/>
      <c r="G264" s="151"/>
      <c r="H264" s="151"/>
      <c r="I264" s="151"/>
      <c r="J264" s="152"/>
      <c r="K264" s="152"/>
      <c r="L264" s="152"/>
      <c r="M264" s="152"/>
      <c r="N264" s="150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</row>
    <row r="265" customFormat="false" ht="11.25" hidden="false" customHeight="true" outlineLevel="0" collapsed="false">
      <c r="A265" s="89"/>
      <c r="B265" s="89"/>
      <c r="C265" s="89"/>
      <c r="D265" s="150"/>
      <c r="E265" s="152"/>
      <c r="F265" s="151"/>
      <c r="G265" s="151"/>
      <c r="H265" s="151"/>
      <c r="I265" s="151"/>
      <c r="J265" s="152"/>
      <c r="K265" s="152"/>
      <c r="L265" s="152"/>
      <c r="M265" s="152"/>
      <c r="N265" s="150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</row>
    <row r="266" customFormat="false" ht="11.25" hidden="false" customHeight="true" outlineLevel="0" collapsed="false">
      <c r="A266" s="89"/>
      <c r="B266" s="89"/>
      <c r="C266" s="89"/>
      <c r="D266" s="150"/>
      <c r="E266" s="152"/>
      <c r="F266" s="151"/>
      <c r="G266" s="151"/>
      <c r="H266" s="151"/>
      <c r="I266" s="151"/>
      <c r="J266" s="152"/>
      <c r="K266" s="152"/>
      <c r="L266" s="152"/>
      <c r="M266" s="152"/>
      <c r="N266" s="150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</row>
    <row r="267" customFormat="false" ht="11.25" hidden="false" customHeight="true" outlineLevel="0" collapsed="false">
      <c r="A267" s="89"/>
      <c r="B267" s="89"/>
      <c r="C267" s="89"/>
      <c r="D267" s="150"/>
      <c r="E267" s="152"/>
      <c r="F267" s="151"/>
      <c r="G267" s="151"/>
      <c r="H267" s="151"/>
      <c r="I267" s="151"/>
      <c r="J267" s="152"/>
      <c r="K267" s="152"/>
      <c r="L267" s="152"/>
      <c r="M267" s="152"/>
      <c r="N267" s="150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</row>
    <row r="268" customFormat="false" ht="11.25" hidden="false" customHeight="true" outlineLevel="0" collapsed="false">
      <c r="A268" s="89"/>
      <c r="B268" s="89"/>
      <c r="C268" s="89"/>
      <c r="D268" s="150"/>
      <c r="E268" s="152"/>
      <c r="F268" s="151"/>
      <c r="G268" s="151"/>
      <c r="H268" s="151"/>
      <c r="I268" s="151"/>
      <c r="J268" s="152"/>
      <c r="K268" s="152"/>
      <c r="L268" s="152"/>
      <c r="M268" s="152"/>
      <c r="N268" s="150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</row>
    <row r="269" customFormat="false" ht="11.25" hidden="false" customHeight="true" outlineLevel="0" collapsed="false">
      <c r="A269" s="89"/>
      <c r="B269" s="89"/>
      <c r="C269" s="89"/>
      <c r="D269" s="150"/>
      <c r="E269" s="152"/>
      <c r="F269" s="151"/>
      <c r="G269" s="151"/>
      <c r="H269" s="151"/>
      <c r="I269" s="151"/>
      <c r="J269" s="152"/>
      <c r="K269" s="152"/>
      <c r="L269" s="152"/>
      <c r="M269" s="152"/>
      <c r="N269" s="150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</row>
    <row r="270" customFormat="false" ht="11.25" hidden="false" customHeight="true" outlineLevel="0" collapsed="false">
      <c r="A270" s="89"/>
      <c r="B270" s="89"/>
      <c r="C270" s="89"/>
      <c r="D270" s="150"/>
      <c r="E270" s="152"/>
      <c r="F270" s="151"/>
      <c r="G270" s="151"/>
      <c r="H270" s="151"/>
      <c r="I270" s="151"/>
      <c r="J270" s="152"/>
      <c r="K270" s="152"/>
      <c r="L270" s="152"/>
      <c r="M270" s="152"/>
      <c r="N270" s="150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</row>
    <row r="271" customFormat="false" ht="11.25" hidden="false" customHeight="true" outlineLevel="0" collapsed="false">
      <c r="A271" s="89"/>
      <c r="B271" s="89"/>
      <c r="C271" s="89"/>
      <c r="D271" s="150"/>
      <c r="E271" s="152"/>
      <c r="F271" s="151"/>
      <c r="G271" s="151"/>
      <c r="H271" s="151"/>
      <c r="I271" s="151"/>
      <c r="J271" s="152"/>
      <c r="K271" s="152"/>
      <c r="L271" s="152"/>
      <c r="M271" s="152"/>
      <c r="N271" s="150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</row>
    <row r="272" customFormat="false" ht="11.25" hidden="false" customHeight="true" outlineLevel="0" collapsed="false">
      <c r="A272" s="89"/>
      <c r="B272" s="89"/>
      <c r="C272" s="89"/>
      <c r="D272" s="150"/>
      <c r="E272" s="152"/>
      <c r="F272" s="151"/>
      <c r="G272" s="151"/>
      <c r="H272" s="151"/>
      <c r="I272" s="151"/>
      <c r="J272" s="152"/>
      <c r="K272" s="152"/>
      <c r="L272" s="152"/>
      <c r="M272" s="152"/>
      <c r="N272" s="150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</row>
    <row r="273" customFormat="false" ht="11.25" hidden="false" customHeight="true" outlineLevel="0" collapsed="false">
      <c r="A273" s="89"/>
      <c r="B273" s="89"/>
      <c r="C273" s="89"/>
      <c r="D273" s="150"/>
      <c r="E273" s="152"/>
      <c r="F273" s="151"/>
      <c r="G273" s="151"/>
      <c r="H273" s="151"/>
      <c r="I273" s="151"/>
      <c r="J273" s="152"/>
      <c r="K273" s="152"/>
      <c r="L273" s="152"/>
      <c r="M273" s="152"/>
      <c r="N273" s="150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</row>
    <row r="274" customFormat="false" ht="11.25" hidden="false" customHeight="true" outlineLevel="0" collapsed="false">
      <c r="A274" s="89"/>
      <c r="B274" s="89"/>
      <c r="C274" s="89"/>
      <c r="D274" s="150"/>
      <c r="E274" s="152"/>
      <c r="F274" s="151"/>
      <c r="G274" s="151"/>
      <c r="H274" s="151"/>
      <c r="I274" s="151"/>
      <c r="J274" s="152"/>
      <c r="K274" s="152"/>
      <c r="L274" s="152"/>
      <c r="M274" s="152"/>
      <c r="N274" s="150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</row>
    <row r="275" customFormat="false" ht="11.25" hidden="false" customHeight="true" outlineLevel="0" collapsed="false">
      <c r="A275" s="89"/>
      <c r="B275" s="89"/>
      <c r="C275" s="89"/>
      <c r="D275" s="150"/>
      <c r="E275" s="152"/>
      <c r="F275" s="151"/>
      <c r="G275" s="151"/>
      <c r="H275" s="151"/>
      <c r="I275" s="151"/>
      <c r="J275" s="152"/>
      <c r="K275" s="152"/>
      <c r="L275" s="152"/>
      <c r="M275" s="152"/>
      <c r="N275" s="150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</row>
    <row r="276" customFormat="false" ht="11.25" hidden="false" customHeight="true" outlineLevel="0" collapsed="false">
      <c r="A276" s="89"/>
      <c r="B276" s="89"/>
      <c r="C276" s="89"/>
      <c r="D276" s="150"/>
      <c r="E276" s="152"/>
      <c r="F276" s="151"/>
      <c r="G276" s="151"/>
      <c r="H276" s="151"/>
      <c r="I276" s="151"/>
      <c r="J276" s="152"/>
      <c r="K276" s="152"/>
      <c r="L276" s="152"/>
      <c r="M276" s="152"/>
      <c r="N276" s="150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</row>
    <row r="277" customFormat="false" ht="11.25" hidden="false" customHeight="true" outlineLevel="0" collapsed="false">
      <c r="A277" s="89"/>
      <c r="B277" s="89"/>
      <c r="C277" s="89"/>
      <c r="D277" s="150"/>
      <c r="E277" s="152"/>
      <c r="F277" s="151"/>
      <c r="G277" s="151"/>
      <c r="H277" s="151"/>
      <c r="I277" s="151"/>
      <c r="J277" s="152"/>
      <c r="K277" s="152"/>
      <c r="L277" s="152"/>
      <c r="M277" s="152"/>
      <c r="N277" s="150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</row>
    <row r="278" customFormat="false" ht="11.25" hidden="false" customHeight="true" outlineLevel="0" collapsed="false">
      <c r="A278" s="89"/>
      <c r="B278" s="89"/>
      <c r="C278" s="89"/>
      <c r="D278" s="150"/>
      <c r="E278" s="152"/>
      <c r="F278" s="151"/>
      <c r="G278" s="151"/>
      <c r="H278" s="151"/>
      <c r="I278" s="151"/>
      <c r="J278" s="152"/>
      <c r="K278" s="152"/>
      <c r="L278" s="152"/>
      <c r="M278" s="152"/>
      <c r="N278" s="150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</row>
    <row r="279" customFormat="false" ht="11.25" hidden="false" customHeight="true" outlineLevel="0" collapsed="false">
      <c r="A279" s="89"/>
      <c r="B279" s="89"/>
      <c r="C279" s="89"/>
      <c r="D279" s="150"/>
      <c r="E279" s="152"/>
      <c r="F279" s="151"/>
      <c r="G279" s="151"/>
      <c r="H279" s="151"/>
      <c r="I279" s="151"/>
      <c r="J279" s="152"/>
      <c r="K279" s="152"/>
      <c r="L279" s="152"/>
      <c r="M279" s="152"/>
      <c r="N279" s="150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</row>
    <row r="280" customFormat="false" ht="11.25" hidden="false" customHeight="true" outlineLevel="0" collapsed="false">
      <c r="A280" s="89"/>
      <c r="B280" s="89"/>
      <c r="C280" s="89"/>
      <c r="D280" s="150"/>
      <c r="E280" s="152"/>
      <c r="F280" s="151"/>
      <c r="G280" s="151"/>
      <c r="H280" s="151"/>
      <c r="I280" s="151"/>
      <c r="J280" s="152"/>
      <c r="K280" s="152"/>
      <c r="L280" s="152"/>
      <c r="M280" s="152"/>
      <c r="N280" s="150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</row>
    <row r="281" customFormat="false" ht="11.25" hidden="false" customHeight="true" outlineLevel="0" collapsed="false">
      <c r="A281" s="89"/>
      <c r="B281" s="89"/>
      <c r="C281" s="89"/>
      <c r="D281" s="150"/>
      <c r="E281" s="152"/>
      <c r="F281" s="151"/>
      <c r="G281" s="151"/>
      <c r="H281" s="151"/>
      <c r="I281" s="151"/>
      <c r="J281" s="152"/>
      <c r="K281" s="152"/>
      <c r="L281" s="152"/>
      <c r="M281" s="152"/>
      <c r="N281" s="150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</row>
    <row r="282" customFormat="false" ht="11.25" hidden="false" customHeight="true" outlineLevel="0" collapsed="false">
      <c r="A282" s="89"/>
      <c r="B282" s="89"/>
      <c r="C282" s="89"/>
      <c r="D282" s="150"/>
      <c r="E282" s="152"/>
      <c r="F282" s="151"/>
      <c r="G282" s="151"/>
      <c r="H282" s="151"/>
      <c r="I282" s="151"/>
      <c r="J282" s="152"/>
      <c r="K282" s="152"/>
      <c r="L282" s="152"/>
      <c r="M282" s="152"/>
      <c r="N282" s="150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</row>
    <row r="283" customFormat="false" ht="11.25" hidden="false" customHeight="true" outlineLevel="0" collapsed="false">
      <c r="A283" s="89"/>
      <c r="B283" s="89"/>
      <c r="C283" s="89"/>
      <c r="D283" s="150"/>
      <c r="E283" s="152"/>
      <c r="F283" s="151"/>
      <c r="G283" s="151"/>
      <c r="H283" s="151"/>
      <c r="I283" s="151"/>
      <c r="J283" s="152"/>
      <c r="K283" s="152"/>
      <c r="L283" s="152"/>
      <c r="M283" s="152"/>
      <c r="N283" s="150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</row>
    <row r="284" customFormat="false" ht="11.25" hidden="false" customHeight="true" outlineLevel="0" collapsed="false">
      <c r="A284" s="89"/>
      <c r="B284" s="89"/>
      <c r="C284" s="89"/>
      <c r="D284" s="150"/>
      <c r="E284" s="152"/>
      <c r="F284" s="151"/>
      <c r="G284" s="151"/>
      <c r="H284" s="151"/>
      <c r="I284" s="151"/>
      <c r="J284" s="152"/>
      <c r="K284" s="152"/>
      <c r="L284" s="152"/>
      <c r="M284" s="152"/>
      <c r="N284" s="150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</row>
    <row r="285" customFormat="false" ht="11.25" hidden="false" customHeight="true" outlineLevel="0" collapsed="false">
      <c r="A285" s="89"/>
      <c r="B285" s="89"/>
      <c r="C285" s="89"/>
      <c r="D285" s="150"/>
      <c r="E285" s="152"/>
      <c r="F285" s="151"/>
      <c r="G285" s="151"/>
      <c r="H285" s="151"/>
      <c r="I285" s="151"/>
      <c r="J285" s="152"/>
      <c r="K285" s="152"/>
      <c r="L285" s="152"/>
      <c r="M285" s="152"/>
      <c r="N285" s="150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</row>
    <row r="286" customFormat="false" ht="11.25" hidden="false" customHeight="true" outlineLevel="0" collapsed="false">
      <c r="A286" s="89"/>
      <c r="B286" s="89"/>
      <c r="C286" s="89"/>
      <c r="D286" s="150"/>
      <c r="E286" s="152"/>
      <c r="F286" s="151"/>
      <c r="G286" s="151"/>
      <c r="H286" s="151"/>
      <c r="I286" s="151"/>
      <c r="J286" s="152"/>
      <c r="K286" s="152"/>
      <c r="L286" s="152"/>
      <c r="M286" s="152"/>
      <c r="N286" s="150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</row>
    <row r="287" customFormat="false" ht="11.25" hidden="false" customHeight="true" outlineLevel="0" collapsed="false">
      <c r="A287" s="89"/>
      <c r="B287" s="89"/>
      <c r="C287" s="89"/>
      <c r="D287" s="150"/>
      <c r="E287" s="152"/>
      <c r="F287" s="151"/>
      <c r="G287" s="151"/>
      <c r="H287" s="151"/>
      <c r="I287" s="151"/>
      <c r="J287" s="152"/>
      <c r="K287" s="152"/>
      <c r="L287" s="152"/>
      <c r="M287" s="152"/>
      <c r="N287" s="150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</row>
    <row r="288" customFormat="false" ht="11.25" hidden="false" customHeight="true" outlineLevel="0" collapsed="false">
      <c r="A288" s="89"/>
      <c r="B288" s="89"/>
      <c r="C288" s="89"/>
      <c r="D288" s="150"/>
      <c r="E288" s="152"/>
      <c r="F288" s="151"/>
      <c r="G288" s="151"/>
      <c r="H288" s="151"/>
      <c r="I288" s="151"/>
      <c r="J288" s="152"/>
      <c r="K288" s="152"/>
      <c r="L288" s="152"/>
      <c r="M288" s="152"/>
      <c r="N288" s="150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</row>
    <row r="289" customFormat="false" ht="11.25" hidden="false" customHeight="true" outlineLevel="0" collapsed="false">
      <c r="A289" s="89"/>
      <c r="B289" s="89"/>
      <c r="C289" s="89"/>
      <c r="D289" s="150"/>
      <c r="E289" s="152"/>
      <c r="F289" s="151"/>
      <c r="G289" s="151"/>
      <c r="H289" s="151"/>
      <c r="I289" s="151"/>
      <c r="J289" s="152"/>
      <c r="K289" s="152"/>
      <c r="L289" s="152"/>
      <c r="M289" s="152"/>
      <c r="N289" s="150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</row>
    <row r="290" customFormat="false" ht="11.25" hidden="false" customHeight="true" outlineLevel="0" collapsed="false">
      <c r="A290" s="89"/>
      <c r="B290" s="89"/>
      <c r="C290" s="89"/>
      <c r="D290" s="150"/>
      <c r="E290" s="152"/>
      <c r="F290" s="151"/>
      <c r="G290" s="151"/>
      <c r="H290" s="151"/>
      <c r="I290" s="151"/>
      <c r="J290" s="152"/>
      <c r="K290" s="152"/>
      <c r="L290" s="152"/>
      <c r="M290" s="152"/>
      <c r="N290" s="150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</row>
    <row r="291" customFormat="false" ht="11.25" hidden="false" customHeight="true" outlineLevel="0" collapsed="false">
      <c r="A291" s="89"/>
      <c r="B291" s="89"/>
      <c r="C291" s="89"/>
      <c r="D291" s="150"/>
      <c r="E291" s="152"/>
      <c r="F291" s="151"/>
      <c r="G291" s="151"/>
      <c r="H291" s="151"/>
      <c r="I291" s="151"/>
      <c r="J291" s="152"/>
      <c r="K291" s="152"/>
      <c r="L291" s="152"/>
      <c r="M291" s="152"/>
      <c r="N291" s="150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</row>
    <row r="292" customFormat="false" ht="11.25" hidden="false" customHeight="true" outlineLevel="0" collapsed="false">
      <c r="A292" s="89"/>
      <c r="B292" s="89"/>
      <c r="C292" s="89"/>
      <c r="D292" s="150"/>
      <c r="E292" s="152"/>
      <c r="F292" s="151"/>
      <c r="G292" s="151"/>
      <c r="H292" s="151"/>
      <c r="I292" s="151"/>
      <c r="J292" s="152"/>
      <c r="K292" s="152"/>
      <c r="L292" s="152"/>
      <c r="M292" s="152"/>
      <c r="N292" s="150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</row>
    <row r="293" customFormat="false" ht="11.25" hidden="false" customHeight="true" outlineLevel="0" collapsed="false">
      <c r="A293" s="89"/>
      <c r="B293" s="89"/>
      <c r="C293" s="89"/>
      <c r="D293" s="150"/>
      <c r="E293" s="152"/>
      <c r="F293" s="151"/>
      <c r="G293" s="151"/>
      <c r="H293" s="151"/>
      <c r="I293" s="151"/>
      <c r="J293" s="152"/>
      <c r="K293" s="152"/>
      <c r="L293" s="152"/>
      <c r="M293" s="152"/>
      <c r="N293" s="150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</row>
    <row r="294" customFormat="false" ht="11.25" hidden="false" customHeight="true" outlineLevel="0" collapsed="false">
      <c r="A294" s="89"/>
      <c r="B294" s="89"/>
      <c r="C294" s="89"/>
      <c r="D294" s="150"/>
      <c r="E294" s="152"/>
      <c r="F294" s="151"/>
      <c r="G294" s="151"/>
      <c r="H294" s="151"/>
      <c r="I294" s="151"/>
      <c r="J294" s="152"/>
      <c r="K294" s="152"/>
      <c r="L294" s="152"/>
      <c r="M294" s="152"/>
      <c r="N294" s="150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</row>
    <row r="295" customFormat="false" ht="11.25" hidden="false" customHeight="true" outlineLevel="0" collapsed="false">
      <c r="A295" s="89"/>
      <c r="B295" s="89"/>
      <c r="C295" s="89"/>
      <c r="D295" s="150"/>
      <c r="E295" s="152"/>
      <c r="F295" s="151"/>
      <c r="G295" s="151"/>
      <c r="H295" s="151"/>
      <c r="I295" s="151"/>
      <c r="J295" s="152"/>
      <c r="K295" s="152"/>
      <c r="L295" s="152"/>
      <c r="M295" s="152"/>
      <c r="N295" s="150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</row>
    <row r="296" customFormat="false" ht="11.25" hidden="false" customHeight="true" outlineLevel="0" collapsed="false">
      <c r="A296" s="89"/>
      <c r="B296" s="89"/>
      <c r="C296" s="89"/>
      <c r="D296" s="150"/>
      <c r="E296" s="152"/>
      <c r="F296" s="151"/>
      <c r="G296" s="151"/>
      <c r="H296" s="151"/>
      <c r="I296" s="151"/>
      <c r="J296" s="152"/>
      <c r="K296" s="152"/>
      <c r="L296" s="152"/>
      <c r="M296" s="152"/>
      <c r="N296" s="150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</row>
    <row r="297" customFormat="false" ht="11.25" hidden="false" customHeight="true" outlineLevel="0" collapsed="false">
      <c r="A297" s="89"/>
      <c r="B297" s="89"/>
      <c r="C297" s="89"/>
      <c r="D297" s="150"/>
      <c r="E297" s="152"/>
      <c r="F297" s="151"/>
      <c r="G297" s="151"/>
      <c r="H297" s="151"/>
      <c r="I297" s="151"/>
      <c r="J297" s="152"/>
      <c r="K297" s="152"/>
      <c r="L297" s="152"/>
      <c r="M297" s="152"/>
      <c r="N297" s="150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</row>
    <row r="298" customFormat="false" ht="11.25" hidden="false" customHeight="true" outlineLevel="0" collapsed="false">
      <c r="A298" s="89"/>
      <c r="B298" s="89"/>
      <c r="C298" s="89"/>
      <c r="D298" s="150"/>
      <c r="E298" s="152"/>
      <c r="F298" s="151"/>
      <c r="G298" s="151"/>
      <c r="H298" s="151"/>
      <c r="I298" s="151"/>
      <c r="J298" s="152"/>
      <c r="K298" s="152"/>
      <c r="L298" s="152"/>
      <c r="M298" s="152"/>
      <c r="N298" s="150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</row>
    <row r="299" customFormat="false" ht="11.25" hidden="false" customHeight="true" outlineLevel="0" collapsed="false">
      <c r="A299" s="89"/>
      <c r="B299" s="89"/>
      <c r="C299" s="89"/>
      <c r="D299" s="150"/>
      <c r="E299" s="152"/>
      <c r="F299" s="151"/>
      <c r="G299" s="151"/>
      <c r="H299" s="151"/>
      <c r="I299" s="151"/>
      <c r="J299" s="152"/>
      <c r="K299" s="152"/>
      <c r="L299" s="152"/>
      <c r="M299" s="152"/>
      <c r="N299" s="150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</row>
    <row r="300" customFormat="false" ht="11.25" hidden="false" customHeight="true" outlineLevel="0" collapsed="false">
      <c r="A300" s="89"/>
      <c r="B300" s="89"/>
      <c r="C300" s="89"/>
      <c r="D300" s="150"/>
      <c r="E300" s="152"/>
      <c r="F300" s="151"/>
      <c r="G300" s="151"/>
      <c r="H300" s="151"/>
      <c r="I300" s="151"/>
      <c r="J300" s="152"/>
      <c r="K300" s="152"/>
      <c r="L300" s="152"/>
      <c r="M300" s="152"/>
      <c r="N300" s="150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</row>
    <row r="301" customFormat="false" ht="11.25" hidden="false" customHeight="true" outlineLevel="0" collapsed="false">
      <c r="A301" s="89"/>
      <c r="B301" s="89"/>
      <c r="C301" s="89"/>
      <c r="D301" s="150"/>
      <c r="E301" s="152"/>
      <c r="F301" s="151"/>
      <c r="G301" s="151"/>
      <c r="H301" s="151"/>
      <c r="I301" s="151"/>
      <c r="J301" s="152"/>
      <c r="K301" s="152"/>
      <c r="L301" s="152"/>
      <c r="M301" s="152"/>
      <c r="N301" s="150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</row>
    <row r="302" customFormat="false" ht="11.25" hidden="false" customHeight="true" outlineLevel="0" collapsed="false">
      <c r="A302" s="89"/>
      <c r="B302" s="89"/>
      <c r="C302" s="89"/>
      <c r="D302" s="150"/>
      <c r="E302" s="152"/>
      <c r="F302" s="151"/>
      <c r="G302" s="151"/>
      <c r="H302" s="151"/>
      <c r="I302" s="151"/>
      <c r="J302" s="152"/>
      <c r="K302" s="152"/>
      <c r="L302" s="152"/>
      <c r="M302" s="152"/>
      <c r="N302" s="150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</row>
    <row r="303" customFormat="false" ht="11.25" hidden="false" customHeight="true" outlineLevel="0" collapsed="false">
      <c r="A303" s="89"/>
      <c r="B303" s="89"/>
      <c r="C303" s="89"/>
      <c r="D303" s="150"/>
      <c r="E303" s="152"/>
      <c r="F303" s="151"/>
      <c r="G303" s="151"/>
      <c r="H303" s="151"/>
      <c r="I303" s="151"/>
      <c r="J303" s="152"/>
      <c r="K303" s="152"/>
      <c r="L303" s="152"/>
      <c r="M303" s="152"/>
      <c r="N303" s="150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</row>
    <row r="304" customFormat="false" ht="11.25" hidden="false" customHeight="true" outlineLevel="0" collapsed="false">
      <c r="A304" s="89"/>
      <c r="B304" s="89"/>
      <c r="C304" s="89"/>
      <c r="D304" s="150"/>
      <c r="E304" s="152"/>
      <c r="F304" s="151"/>
      <c r="G304" s="151"/>
      <c r="H304" s="151"/>
      <c r="I304" s="151"/>
      <c r="J304" s="152"/>
      <c r="K304" s="152"/>
      <c r="L304" s="152"/>
      <c r="M304" s="152"/>
      <c r="N304" s="150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</row>
    <row r="305" customFormat="false" ht="11.25" hidden="false" customHeight="true" outlineLevel="0" collapsed="false">
      <c r="A305" s="89"/>
      <c r="B305" s="89"/>
      <c r="C305" s="89"/>
      <c r="D305" s="150"/>
      <c r="E305" s="152"/>
      <c r="F305" s="151"/>
      <c r="G305" s="151"/>
      <c r="H305" s="151"/>
      <c r="I305" s="151"/>
      <c r="J305" s="152"/>
      <c r="K305" s="152"/>
      <c r="L305" s="152"/>
      <c r="M305" s="152"/>
      <c r="N305" s="150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</row>
    <row r="306" customFormat="false" ht="11.25" hidden="false" customHeight="true" outlineLevel="0" collapsed="false">
      <c r="A306" s="89"/>
      <c r="B306" s="89"/>
      <c r="C306" s="89"/>
      <c r="D306" s="150"/>
      <c r="E306" s="152"/>
      <c r="F306" s="151"/>
      <c r="G306" s="151"/>
      <c r="H306" s="151"/>
      <c r="I306" s="151"/>
      <c r="J306" s="152"/>
      <c r="K306" s="152"/>
      <c r="L306" s="152"/>
      <c r="M306" s="152"/>
      <c r="N306" s="150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</row>
    <row r="307" customFormat="false" ht="11.25" hidden="false" customHeight="true" outlineLevel="0" collapsed="false">
      <c r="A307" s="89"/>
      <c r="B307" s="89"/>
      <c r="C307" s="89"/>
      <c r="D307" s="150"/>
      <c r="E307" s="152"/>
      <c r="F307" s="151"/>
      <c r="G307" s="151"/>
      <c r="H307" s="151"/>
      <c r="I307" s="151"/>
      <c r="J307" s="152"/>
      <c r="K307" s="152"/>
      <c r="L307" s="152"/>
      <c r="M307" s="152"/>
      <c r="N307" s="150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</row>
    <row r="308" customFormat="false" ht="11.25" hidden="false" customHeight="true" outlineLevel="0" collapsed="false">
      <c r="A308" s="89"/>
      <c r="B308" s="89"/>
      <c r="C308" s="89"/>
      <c r="D308" s="150"/>
      <c r="E308" s="152"/>
      <c r="F308" s="151"/>
      <c r="G308" s="151"/>
      <c r="H308" s="151"/>
      <c r="I308" s="151"/>
      <c r="J308" s="152"/>
      <c r="K308" s="152"/>
      <c r="L308" s="152"/>
      <c r="M308" s="152"/>
      <c r="N308" s="150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</row>
    <row r="309" customFormat="false" ht="11.25" hidden="false" customHeight="true" outlineLevel="0" collapsed="false">
      <c r="A309" s="89"/>
      <c r="B309" s="89"/>
      <c r="C309" s="89"/>
      <c r="D309" s="150"/>
      <c r="E309" s="152"/>
      <c r="F309" s="151"/>
      <c r="G309" s="151"/>
      <c r="H309" s="151"/>
      <c r="I309" s="151"/>
      <c r="J309" s="152"/>
      <c r="K309" s="152"/>
      <c r="L309" s="152"/>
      <c r="M309" s="152"/>
      <c r="N309" s="150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</row>
    <row r="310" customFormat="false" ht="11.25" hidden="false" customHeight="true" outlineLevel="0" collapsed="false">
      <c r="A310" s="89"/>
      <c r="B310" s="89"/>
      <c r="C310" s="89"/>
      <c r="D310" s="150"/>
      <c r="E310" s="152"/>
      <c r="F310" s="151"/>
      <c r="G310" s="151"/>
      <c r="H310" s="151"/>
      <c r="I310" s="151"/>
      <c r="J310" s="152"/>
      <c r="K310" s="152"/>
      <c r="L310" s="152"/>
      <c r="M310" s="152"/>
      <c r="N310" s="150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</row>
    <row r="311" customFormat="false" ht="11.25" hidden="false" customHeight="true" outlineLevel="0" collapsed="false">
      <c r="A311" s="89"/>
      <c r="B311" s="89"/>
      <c r="C311" s="89"/>
      <c r="D311" s="150"/>
      <c r="E311" s="152"/>
      <c r="F311" s="151"/>
      <c r="G311" s="151"/>
      <c r="H311" s="151"/>
      <c r="I311" s="151"/>
      <c r="J311" s="152"/>
      <c r="K311" s="152"/>
      <c r="L311" s="152"/>
      <c r="M311" s="152"/>
      <c r="N311" s="150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</row>
    <row r="312" customFormat="false" ht="11.25" hidden="false" customHeight="true" outlineLevel="0" collapsed="false">
      <c r="A312" s="89"/>
      <c r="B312" s="89"/>
      <c r="C312" s="89"/>
      <c r="D312" s="150"/>
      <c r="E312" s="152"/>
      <c r="F312" s="151"/>
      <c r="G312" s="151"/>
      <c r="H312" s="151"/>
      <c r="I312" s="151"/>
      <c r="J312" s="152"/>
      <c r="K312" s="152"/>
      <c r="L312" s="152"/>
      <c r="M312" s="152"/>
      <c r="N312" s="150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</row>
    <row r="313" customFormat="false" ht="11.25" hidden="false" customHeight="true" outlineLevel="0" collapsed="false">
      <c r="A313" s="89"/>
      <c r="B313" s="89"/>
      <c r="C313" s="89"/>
      <c r="D313" s="150"/>
      <c r="E313" s="152"/>
      <c r="F313" s="151"/>
      <c r="G313" s="151"/>
      <c r="H313" s="151"/>
      <c r="I313" s="151"/>
      <c r="J313" s="152"/>
      <c r="K313" s="152"/>
      <c r="L313" s="152"/>
      <c r="M313" s="152"/>
      <c r="N313" s="150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</row>
    <row r="314" customFormat="false" ht="11.25" hidden="false" customHeight="true" outlineLevel="0" collapsed="false">
      <c r="A314" s="89"/>
      <c r="B314" s="89"/>
      <c r="C314" s="89"/>
      <c r="D314" s="150"/>
      <c r="E314" s="152"/>
      <c r="F314" s="151"/>
      <c r="G314" s="151"/>
      <c r="H314" s="151"/>
      <c r="I314" s="151"/>
      <c r="J314" s="152"/>
      <c r="K314" s="152"/>
      <c r="L314" s="152"/>
      <c r="M314" s="152"/>
      <c r="N314" s="150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</row>
    <row r="315" customFormat="false" ht="11.25" hidden="false" customHeight="true" outlineLevel="0" collapsed="false">
      <c r="A315" s="89"/>
      <c r="B315" s="89"/>
      <c r="C315" s="89"/>
      <c r="D315" s="150"/>
      <c r="E315" s="152"/>
      <c r="F315" s="151"/>
      <c r="G315" s="151"/>
      <c r="H315" s="151"/>
      <c r="I315" s="151"/>
      <c r="J315" s="152"/>
      <c r="K315" s="152"/>
      <c r="L315" s="152"/>
      <c r="M315" s="152"/>
      <c r="N315" s="150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</row>
    <row r="316" customFormat="false" ht="11.25" hidden="false" customHeight="true" outlineLevel="0" collapsed="false">
      <c r="A316" s="89"/>
      <c r="B316" s="89"/>
      <c r="C316" s="89"/>
      <c r="D316" s="150"/>
      <c r="E316" s="152"/>
      <c r="F316" s="151"/>
      <c r="G316" s="151"/>
      <c r="H316" s="151"/>
      <c r="I316" s="151"/>
      <c r="J316" s="152"/>
      <c r="K316" s="152"/>
      <c r="L316" s="152"/>
      <c r="M316" s="152"/>
      <c r="N316" s="150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</row>
    <row r="317" customFormat="false" ht="11.25" hidden="false" customHeight="true" outlineLevel="0" collapsed="false">
      <c r="A317" s="89"/>
      <c r="B317" s="89"/>
      <c r="C317" s="89"/>
      <c r="D317" s="150"/>
      <c r="E317" s="152"/>
      <c r="F317" s="151"/>
      <c r="G317" s="151"/>
      <c r="H317" s="151"/>
      <c r="I317" s="151"/>
      <c r="J317" s="152"/>
      <c r="K317" s="152"/>
      <c r="L317" s="152"/>
      <c r="M317" s="152"/>
      <c r="N317" s="150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</row>
    <row r="318" customFormat="false" ht="11.25" hidden="false" customHeight="true" outlineLevel="0" collapsed="false">
      <c r="A318" s="89"/>
      <c r="B318" s="89"/>
      <c r="C318" s="89"/>
      <c r="D318" s="150"/>
      <c r="E318" s="152"/>
      <c r="F318" s="151"/>
      <c r="G318" s="151"/>
      <c r="H318" s="151"/>
      <c r="I318" s="151"/>
      <c r="J318" s="152"/>
      <c r="K318" s="152"/>
      <c r="L318" s="152"/>
      <c r="M318" s="152"/>
      <c r="N318" s="150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</row>
    <row r="319" customFormat="false" ht="11.25" hidden="false" customHeight="true" outlineLevel="0" collapsed="false">
      <c r="A319" s="89"/>
      <c r="B319" s="89"/>
      <c r="C319" s="89"/>
      <c r="D319" s="150"/>
      <c r="E319" s="152"/>
      <c r="F319" s="151"/>
      <c r="G319" s="151"/>
      <c r="H319" s="151"/>
      <c r="I319" s="151"/>
      <c r="J319" s="152"/>
      <c r="K319" s="152"/>
      <c r="L319" s="152"/>
      <c r="M319" s="152"/>
      <c r="N319" s="150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</row>
    <row r="320" customFormat="false" ht="11.25" hidden="false" customHeight="true" outlineLevel="0" collapsed="false">
      <c r="A320" s="89"/>
      <c r="B320" s="89"/>
      <c r="C320" s="89"/>
      <c r="D320" s="150"/>
      <c r="E320" s="152"/>
      <c r="F320" s="151"/>
      <c r="G320" s="151"/>
      <c r="H320" s="151"/>
      <c r="I320" s="151"/>
      <c r="J320" s="152"/>
      <c r="K320" s="152"/>
      <c r="L320" s="152"/>
      <c r="M320" s="152"/>
      <c r="N320" s="150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</row>
    <row r="321" customFormat="false" ht="11.25" hidden="false" customHeight="true" outlineLevel="0" collapsed="false">
      <c r="A321" s="89"/>
      <c r="B321" s="89"/>
      <c r="C321" s="89"/>
      <c r="D321" s="150"/>
      <c r="E321" s="152"/>
      <c r="F321" s="151"/>
      <c r="G321" s="151"/>
      <c r="H321" s="151"/>
      <c r="I321" s="151"/>
      <c r="J321" s="152"/>
      <c r="K321" s="152"/>
      <c r="L321" s="152"/>
      <c r="M321" s="152"/>
      <c r="N321" s="150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</row>
    <row r="322" customFormat="false" ht="11.25" hidden="false" customHeight="true" outlineLevel="0" collapsed="false">
      <c r="A322" s="89"/>
      <c r="B322" s="89"/>
      <c r="C322" s="89"/>
      <c r="D322" s="150"/>
      <c r="E322" s="152"/>
      <c r="F322" s="151"/>
      <c r="G322" s="151"/>
      <c r="H322" s="151"/>
      <c r="I322" s="151"/>
      <c r="J322" s="152"/>
      <c r="K322" s="152"/>
      <c r="L322" s="152"/>
      <c r="M322" s="152"/>
      <c r="N322" s="150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</row>
    <row r="323" customFormat="false" ht="11.25" hidden="false" customHeight="true" outlineLevel="0" collapsed="false">
      <c r="A323" s="89"/>
      <c r="B323" s="89"/>
      <c r="C323" s="89"/>
      <c r="D323" s="150"/>
      <c r="E323" s="152"/>
      <c r="F323" s="151"/>
      <c r="G323" s="151"/>
      <c r="H323" s="151"/>
      <c r="I323" s="151"/>
      <c r="J323" s="152"/>
      <c r="K323" s="152"/>
      <c r="L323" s="152"/>
      <c r="M323" s="152"/>
      <c r="N323" s="150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</row>
    <row r="324" customFormat="false" ht="11.25" hidden="false" customHeight="true" outlineLevel="0" collapsed="false">
      <c r="A324" s="89"/>
      <c r="B324" s="89"/>
      <c r="C324" s="89"/>
      <c r="D324" s="150"/>
      <c r="E324" s="152"/>
      <c r="F324" s="151"/>
      <c r="G324" s="151"/>
      <c r="H324" s="151"/>
      <c r="I324" s="151"/>
      <c r="J324" s="152"/>
      <c r="K324" s="152"/>
      <c r="L324" s="152"/>
      <c r="M324" s="152"/>
      <c r="N324" s="150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</row>
    <row r="325" customFormat="false" ht="11.25" hidden="false" customHeight="true" outlineLevel="0" collapsed="false">
      <c r="A325" s="89"/>
      <c r="B325" s="89"/>
      <c r="C325" s="89"/>
      <c r="D325" s="150"/>
      <c r="E325" s="152"/>
      <c r="F325" s="151"/>
      <c r="G325" s="151"/>
      <c r="H325" s="151"/>
      <c r="I325" s="151"/>
      <c r="J325" s="152"/>
      <c r="K325" s="152"/>
      <c r="L325" s="152"/>
      <c r="M325" s="152"/>
      <c r="N325" s="150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</row>
    <row r="326" customFormat="false" ht="11.25" hidden="false" customHeight="true" outlineLevel="0" collapsed="false">
      <c r="A326" s="89"/>
      <c r="B326" s="89"/>
      <c r="C326" s="89"/>
      <c r="D326" s="150"/>
      <c r="E326" s="152"/>
      <c r="F326" s="151"/>
      <c r="G326" s="151"/>
      <c r="H326" s="151"/>
      <c r="I326" s="151"/>
      <c r="J326" s="152"/>
      <c r="K326" s="152"/>
      <c r="L326" s="152"/>
      <c r="M326" s="152"/>
      <c r="N326" s="150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</row>
    <row r="327" customFormat="false" ht="11.25" hidden="false" customHeight="true" outlineLevel="0" collapsed="false">
      <c r="A327" s="89"/>
      <c r="B327" s="89"/>
      <c r="C327" s="89"/>
      <c r="D327" s="150"/>
      <c r="E327" s="152"/>
      <c r="F327" s="151"/>
      <c r="G327" s="151"/>
      <c r="H327" s="151"/>
      <c r="I327" s="151"/>
      <c r="J327" s="152"/>
      <c r="K327" s="152"/>
      <c r="L327" s="152"/>
      <c r="M327" s="152"/>
      <c r="N327" s="150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</row>
    <row r="328" customFormat="false" ht="11.25" hidden="false" customHeight="true" outlineLevel="0" collapsed="false">
      <c r="A328" s="89"/>
      <c r="B328" s="89"/>
      <c r="C328" s="89"/>
      <c r="D328" s="150"/>
      <c r="E328" s="152"/>
      <c r="F328" s="151"/>
      <c r="G328" s="151"/>
      <c r="H328" s="151"/>
      <c r="I328" s="151"/>
      <c r="J328" s="152"/>
      <c r="K328" s="152"/>
      <c r="L328" s="152"/>
      <c r="M328" s="152"/>
      <c r="N328" s="150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</row>
    <row r="329" customFormat="false" ht="11.25" hidden="false" customHeight="true" outlineLevel="0" collapsed="false">
      <c r="A329" s="89"/>
      <c r="B329" s="89"/>
      <c r="C329" s="89"/>
      <c r="D329" s="150"/>
      <c r="E329" s="152"/>
      <c r="F329" s="151"/>
      <c r="G329" s="151"/>
      <c r="H329" s="151"/>
      <c r="I329" s="151"/>
      <c r="J329" s="152"/>
      <c r="K329" s="152"/>
      <c r="L329" s="152"/>
      <c r="M329" s="152"/>
      <c r="N329" s="150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</row>
    <row r="330" customFormat="false" ht="11.25" hidden="false" customHeight="true" outlineLevel="0" collapsed="false">
      <c r="A330" s="89"/>
      <c r="B330" s="89"/>
      <c r="C330" s="89"/>
      <c r="D330" s="150"/>
      <c r="E330" s="152"/>
      <c r="F330" s="151"/>
      <c r="G330" s="151"/>
      <c r="H330" s="151"/>
      <c r="I330" s="151"/>
      <c r="J330" s="152"/>
      <c r="K330" s="152"/>
      <c r="L330" s="152"/>
      <c r="M330" s="152"/>
      <c r="N330" s="150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</row>
    <row r="331" customFormat="false" ht="11.25" hidden="false" customHeight="true" outlineLevel="0" collapsed="false">
      <c r="A331" s="89"/>
      <c r="B331" s="89"/>
      <c r="C331" s="89"/>
      <c r="D331" s="150"/>
      <c r="E331" s="152"/>
      <c r="F331" s="151"/>
      <c r="G331" s="151"/>
      <c r="H331" s="151"/>
      <c r="I331" s="151"/>
      <c r="J331" s="152"/>
      <c r="K331" s="152"/>
      <c r="L331" s="152"/>
      <c r="M331" s="152"/>
      <c r="N331" s="150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</row>
    <row r="332" customFormat="false" ht="11.25" hidden="false" customHeight="true" outlineLevel="0" collapsed="false">
      <c r="A332" s="89"/>
      <c r="B332" s="89"/>
      <c r="C332" s="89"/>
      <c r="D332" s="150"/>
      <c r="E332" s="152"/>
      <c r="F332" s="151"/>
      <c r="G332" s="151"/>
      <c r="H332" s="151"/>
      <c r="I332" s="151"/>
      <c r="J332" s="152"/>
      <c r="K332" s="152"/>
      <c r="L332" s="152"/>
      <c r="M332" s="152"/>
      <c r="N332" s="150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</row>
    <row r="333" customFormat="false" ht="11.25" hidden="false" customHeight="true" outlineLevel="0" collapsed="false">
      <c r="A333" s="89"/>
      <c r="B333" s="89"/>
      <c r="C333" s="89"/>
      <c r="D333" s="150"/>
      <c r="E333" s="152"/>
      <c r="F333" s="151"/>
      <c r="G333" s="151"/>
      <c r="H333" s="151"/>
      <c r="I333" s="151"/>
      <c r="J333" s="152"/>
      <c r="K333" s="152"/>
      <c r="L333" s="152"/>
      <c r="M333" s="152"/>
      <c r="N333" s="150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</row>
    <row r="334" customFormat="false" ht="11.25" hidden="false" customHeight="true" outlineLevel="0" collapsed="false">
      <c r="A334" s="89"/>
      <c r="B334" s="89"/>
      <c r="C334" s="89"/>
      <c r="D334" s="150"/>
      <c r="E334" s="152"/>
      <c r="F334" s="151"/>
      <c r="G334" s="151"/>
      <c r="H334" s="151"/>
      <c r="I334" s="151"/>
      <c r="J334" s="152"/>
      <c r="K334" s="152"/>
      <c r="L334" s="152"/>
      <c r="M334" s="152"/>
      <c r="N334" s="150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</row>
    <row r="335" customFormat="false" ht="11.25" hidden="false" customHeight="true" outlineLevel="0" collapsed="false">
      <c r="A335" s="89"/>
      <c r="B335" s="89"/>
      <c r="C335" s="89"/>
      <c r="D335" s="150"/>
      <c r="E335" s="152"/>
      <c r="F335" s="151"/>
      <c r="G335" s="151"/>
      <c r="H335" s="151"/>
      <c r="I335" s="151"/>
      <c r="J335" s="152"/>
      <c r="K335" s="152"/>
      <c r="L335" s="152"/>
      <c r="M335" s="152"/>
      <c r="N335" s="150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</row>
    <row r="336" customFormat="false" ht="11.25" hidden="false" customHeight="true" outlineLevel="0" collapsed="false">
      <c r="A336" s="89"/>
      <c r="B336" s="89"/>
      <c r="C336" s="89"/>
      <c r="D336" s="150"/>
      <c r="E336" s="152"/>
      <c r="F336" s="151"/>
      <c r="G336" s="151"/>
      <c r="H336" s="151"/>
      <c r="I336" s="151"/>
      <c r="J336" s="152"/>
      <c r="K336" s="152"/>
      <c r="L336" s="152"/>
      <c r="M336" s="152"/>
      <c r="N336" s="150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</row>
    <row r="337" customFormat="false" ht="11.25" hidden="false" customHeight="true" outlineLevel="0" collapsed="false">
      <c r="A337" s="89"/>
      <c r="B337" s="89"/>
      <c r="C337" s="89"/>
      <c r="D337" s="150"/>
      <c r="E337" s="152"/>
      <c r="F337" s="151"/>
      <c r="G337" s="151"/>
      <c r="H337" s="151"/>
      <c r="I337" s="151"/>
      <c r="J337" s="152"/>
      <c r="K337" s="152"/>
      <c r="L337" s="152"/>
      <c r="M337" s="152"/>
      <c r="N337" s="150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</row>
    <row r="338" customFormat="false" ht="11.25" hidden="false" customHeight="true" outlineLevel="0" collapsed="false">
      <c r="A338" s="89"/>
      <c r="B338" s="89"/>
      <c r="C338" s="89"/>
      <c r="D338" s="150"/>
      <c r="E338" s="152"/>
      <c r="F338" s="151"/>
      <c r="G338" s="151"/>
      <c r="H338" s="151"/>
      <c r="I338" s="151"/>
      <c r="J338" s="152"/>
      <c r="K338" s="152"/>
      <c r="L338" s="152"/>
      <c r="M338" s="152"/>
      <c r="N338" s="150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</row>
    <row r="339" customFormat="false" ht="11.25" hidden="false" customHeight="true" outlineLevel="0" collapsed="false">
      <c r="A339" s="89"/>
      <c r="B339" s="89"/>
      <c r="C339" s="89"/>
      <c r="D339" s="150"/>
      <c r="E339" s="152"/>
      <c r="F339" s="151"/>
      <c r="G339" s="151"/>
      <c r="H339" s="151"/>
      <c r="I339" s="151"/>
      <c r="J339" s="152"/>
      <c r="K339" s="152"/>
      <c r="L339" s="152"/>
      <c r="M339" s="152"/>
      <c r="N339" s="150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</row>
    <row r="340" customFormat="false" ht="11.25" hidden="false" customHeight="true" outlineLevel="0" collapsed="false">
      <c r="A340" s="89"/>
      <c r="B340" s="89"/>
      <c r="C340" s="89"/>
      <c r="D340" s="150"/>
      <c r="E340" s="152"/>
      <c r="F340" s="151"/>
      <c r="G340" s="151"/>
      <c r="H340" s="151"/>
      <c r="I340" s="151"/>
      <c r="J340" s="152"/>
      <c r="K340" s="152"/>
      <c r="L340" s="152"/>
      <c r="M340" s="152"/>
      <c r="N340" s="150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</row>
    <row r="341" customFormat="false" ht="11.25" hidden="false" customHeight="true" outlineLevel="0" collapsed="false">
      <c r="A341" s="89"/>
      <c r="B341" s="89"/>
      <c r="C341" s="89"/>
      <c r="D341" s="150"/>
      <c r="E341" s="152"/>
      <c r="F341" s="151"/>
      <c r="G341" s="151"/>
      <c r="H341" s="151"/>
      <c r="I341" s="151"/>
      <c r="J341" s="152"/>
      <c r="K341" s="152"/>
      <c r="L341" s="152"/>
      <c r="M341" s="152"/>
      <c r="N341" s="150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</row>
    <row r="342" customFormat="false" ht="11.25" hidden="false" customHeight="true" outlineLevel="0" collapsed="false">
      <c r="A342" s="89"/>
      <c r="B342" s="89"/>
      <c r="C342" s="89"/>
      <c r="D342" s="150"/>
      <c r="E342" s="152"/>
      <c r="F342" s="151"/>
      <c r="G342" s="151"/>
      <c r="H342" s="151"/>
      <c r="I342" s="151"/>
      <c r="J342" s="152"/>
      <c r="K342" s="152"/>
      <c r="L342" s="152"/>
      <c r="M342" s="152"/>
      <c r="N342" s="150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</row>
    <row r="343" customFormat="false" ht="11.25" hidden="false" customHeight="true" outlineLevel="0" collapsed="false">
      <c r="A343" s="89"/>
      <c r="B343" s="89"/>
      <c r="C343" s="89"/>
      <c r="D343" s="150"/>
      <c r="E343" s="152"/>
      <c r="F343" s="151"/>
      <c r="G343" s="151"/>
      <c r="H343" s="151"/>
      <c r="I343" s="151"/>
      <c r="J343" s="152"/>
      <c r="K343" s="152"/>
      <c r="L343" s="152"/>
      <c r="M343" s="152"/>
      <c r="N343" s="150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</row>
    <row r="344" customFormat="false" ht="11.25" hidden="false" customHeight="true" outlineLevel="0" collapsed="false">
      <c r="A344" s="89"/>
      <c r="B344" s="89"/>
      <c r="C344" s="89"/>
      <c r="D344" s="150"/>
      <c r="E344" s="152"/>
      <c r="F344" s="151"/>
      <c r="G344" s="151"/>
      <c r="H344" s="151"/>
      <c r="I344" s="151"/>
      <c r="J344" s="152"/>
      <c r="K344" s="152"/>
      <c r="L344" s="152"/>
      <c r="M344" s="152"/>
      <c r="N344" s="150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</row>
    <row r="345" customFormat="false" ht="11.25" hidden="false" customHeight="true" outlineLevel="0" collapsed="false">
      <c r="A345" s="89"/>
      <c r="B345" s="89"/>
      <c r="C345" s="89"/>
      <c r="D345" s="150"/>
      <c r="E345" s="152"/>
      <c r="F345" s="151"/>
      <c r="G345" s="151"/>
      <c r="H345" s="151"/>
      <c r="I345" s="151"/>
      <c r="J345" s="152"/>
      <c r="K345" s="152"/>
      <c r="L345" s="152"/>
      <c r="M345" s="152"/>
      <c r="N345" s="150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</row>
    <row r="346" customFormat="false" ht="11.25" hidden="false" customHeight="true" outlineLevel="0" collapsed="false">
      <c r="A346" s="89"/>
      <c r="B346" s="89"/>
      <c r="C346" s="89"/>
      <c r="D346" s="150"/>
      <c r="E346" s="152"/>
      <c r="F346" s="151"/>
      <c r="G346" s="151"/>
      <c r="H346" s="151"/>
      <c r="I346" s="151"/>
      <c r="J346" s="152"/>
      <c r="K346" s="152"/>
      <c r="L346" s="152"/>
      <c r="M346" s="152"/>
      <c r="N346" s="150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</row>
    <row r="347" customFormat="false" ht="11.25" hidden="false" customHeight="true" outlineLevel="0" collapsed="false">
      <c r="A347" s="89"/>
      <c r="B347" s="89"/>
      <c r="C347" s="89"/>
      <c r="D347" s="150"/>
      <c r="E347" s="152"/>
      <c r="F347" s="151"/>
      <c r="G347" s="151"/>
      <c r="H347" s="151"/>
      <c r="I347" s="151"/>
      <c r="J347" s="152"/>
      <c r="K347" s="152"/>
      <c r="L347" s="152"/>
      <c r="M347" s="152"/>
      <c r="N347" s="150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</row>
    <row r="348" customFormat="false" ht="11.25" hidden="false" customHeight="true" outlineLevel="0" collapsed="false">
      <c r="A348" s="89"/>
      <c r="B348" s="89"/>
      <c r="C348" s="89"/>
      <c r="D348" s="150"/>
      <c r="E348" s="152"/>
      <c r="F348" s="151"/>
      <c r="G348" s="151"/>
      <c r="H348" s="151"/>
      <c r="I348" s="151"/>
      <c r="J348" s="152"/>
      <c r="K348" s="152"/>
      <c r="L348" s="152"/>
      <c r="M348" s="152"/>
      <c r="N348" s="150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</row>
    <row r="349" customFormat="false" ht="11.25" hidden="false" customHeight="true" outlineLevel="0" collapsed="false">
      <c r="A349" s="89"/>
      <c r="B349" s="89"/>
      <c r="C349" s="89"/>
      <c r="D349" s="150"/>
      <c r="E349" s="152"/>
      <c r="F349" s="151"/>
      <c r="G349" s="151"/>
      <c r="H349" s="151"/>
      <c r="I349" s="151"/>
      <c r="J349" s="152"/>
      <c r="K349" s="152"/>
      <c r="L349" s="152"/>
      <c r="M349" s="152"/>
      <c r="N349" s="150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</row>
    <row r="350" customFormat="false" ht="11.25" hidden="false" customHeight="true" outlineLevel="0" collapsed="false">
      <c r="A350" s="89"/>
      <c r="B350" s="89"/>
      <c r="C350" s="89"/>
      <c r="D350" s="150"/>
      <c r="E350" s="152"/>
      <c r="F350" s="151"/>
      <c r="G350" s="151"/>
      <c r="H350" s="151"/>
      <c r="I350" s="151"/>
      <c r="J350" s="152"/>
      <c r="K350" s="152"/>
      <c r="L350" s="152"/>
      <c r="M350" s="152"/>
      <c r="N350" s="150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</row>
    <row r="351" customFormat="false" ht="11.25" hidden="false" customHeight="true" outlineLevel="0" collapsed="false">
      <c r="A351" s="89"/>
      <c r="B351" s="89"/>
      <c r="C351" s="89"/>
      <c r="D351" s="150"/>
      <c r="E351" s="152"/>
      <c r="F351" s="151"/>
      <c r="G351" s="151"/>
      <c r="H351" s="151"/>
      <c r="I351" s="151"/>
      <c r="J351" s="152"/>
      <c r="K351" s="152"/>
      <c r="L351" s="152"/>
      <c r="M351" s="152"/>
      <c r="N351" s="150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</row>
    <row r="352" customFormat="false" ht="11.25" hidden="false" customHeight="true" outlineLevel="0" collapsed="false">
      <c r="A352" s="89"/>
      <c r="B352" s="89"/>
      <c r="C352" s="89"/>
      <c r="D352" s="150"/>
      <c r="E352" s="152"/>
      <c r="F352" s="151"/>
      <c r="G352" s="151"/>
      <c r="H352" s="151"/>
      <c r="I352" s="151"/>
      <c r="J352" s="152"/>
      <c r="K352" s="152"/>
      <c r="L352" s="152"/>
      <c r="M352" s="152"/>
      <c r="N352" s="150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</row>
    <row r="353" customFormat="false" ht="11.25" hidden="false" customHeight="true" outlineLevel="0" collapsed="false">
      <c r="A353" s="89"/>
      <c r="B353" s="89"/>
      <c r="C353" s="89"/>
      <c r="D353" s="150"/>
      <c r="E353" s="152"/>
      <c r="F353" s="151"/>
      <c r="G353" s="151"/>
      <c r="H353" s="151"/>
      <c r="I353" s="151"/>
      <c r="J353" s="152"/>
      <c r="K353" s="152"/>
      <c r="L353" s="152"/>
      <c r="M353" s="152"/>
      <c r="N353" s="150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</row>
    <row r="354" customFormat="false" ht="11.25" hidden="false" customHeight="true" outlineLevel="0" collapsed="false">
      <c r="A354" s="89"/>
      <c r="B354" s="89"/>
      <c r="C354" s="89"/>
      <c r="D354" s="150"/>
      <c r="E354" s="152"/>
      <c r="F354" s="151"/>
      <c r="G354" s="151"/>
      <c r="H354" s="151"/>
      <c r="I354" s="151"/>
      <c r="J354" s="152"/>
      <c r="K354" s="152"/>
      <c r="L354" s="152"/>
      <c r="M354" s="152"/>
      <c r="N354" s="150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</row>
    <row r="355" customFormat="false" ht="11.25" hidden="false" customHeight="true" outlineLevel="0" collapsed="false">
      <c r="A355" s="89"/>
      <c r="B355" s="89"/>
      <c r="C355" s="89"/>
      <c r="D355" s="150"/>
      <c r="E355" s="152"/>
      <c r="F355" s="151"/>
      <c r="G355" s="151"/>
      <c r="H355" s="151"/>
      <c r="I355" s="151"/>
      <c r="J355" s="152"/>
      <c r="K355" s="152"/>
      <c r="L355" s="152"/>
      <c r="M355" s="152"/>
      <c r="N355" s="150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</row>
    <row r="356" customFormat="false" ht="11.25" hidden="false" customHeight="true" outlineLevel="0" collapsed="false">
      <c r="A356" s="89"/>
      <c r="B356" s="89"/>
      <c r="C356" s="89"/>
      <c r="D356" s="150"/>
      <c r="E356" s="152"/>
      <c r="F356" s="151"/>
      <c r="G356" s="151"/>
      <c r="H356" s="151"/>
      <c r="I356" s="151"/>
      <c r="J356" s="152"/>
      <c r="K356" s="152"/>
      <c r="L356" s="152"/>
      <c r="M356" s="152"/>
      <c r="N356" s="150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</row>
    <row r="357" customFormat="false" ht="11.25" hidden="false" customHeight="true" outlineLevel="0" collapsed="false">
      <c r="A357" s="89"/>
      <c r="B357" s="89"/>
      <c r="C357" s="89"/>
      <c r="D357" s="150"/>
      <c r="E357" s="152"/>
      <c r="F357" s="151"/>
      <c r="G357" s="151"/>
      <c r="H357" s="151"/>
      <c r="I357" s="151"/>
      <c r="J357" s="152"/>
      <c r="K357" s="152"/>
      <c r="L357" s="152"/>
      <c r="M357" s="152"/>
      <c r="N357" s="150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</row>
    <row r="358" customFormat="false" ht="11.25" hidden="false" customHeight="true" outlineLevel="0" collapsed="false">
      <c r="A358" s="89"/>
      <c r="B358" s="89"/>
      <c r="C358" s="89"/>
      <c r="D358" s="150"/>
      <c r="E358" s="152"/>
      <c r="F358" s="151"/>
      <c r="G358" s="151"/>
      <c r="H358" s="151"/>
      <c r="I358" s="151"/>
      <c r="J358" s="152"/>
      <c r="K358" s="152"/>
      <c r="L358" s="152"/>
      <c r="M358" s="152"/>
      <c r="N358" s="150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</row>
    <row r="359" customFormat="false" ht="11.25" hidden="false" customHeight="true" outlineLevel="0" collapsed="false">
      <c r="A359" s="89"/>
      <c r="B359" s="89"/>
      <c r="C359" s="89"/>
      <c r="D359" s="150"/>
      <c r="E359" s="152"/>
      <c r="F359" s="151"/>
      <c r="G359" s="151"/>
      <c r="H359" s="151"/>
      <c r="I359" s="151"/>
      <c r="J359" s="152"/>
      <c r="K359" s="152"/>
      <c r="L359" s="152"/>
      <c r="M359" s="152"/>
      <c r="N359" s="150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</row>
    <row r="360" customFormat="false" ht="11.25" hidden="false" customHeight="true" outlineLevel="0" collapsed="false">
      <c r="A360" s="89"/>
      <c r="B360" s="89"/>
      <c r="C360" s="89"/>
      <c r="D360" s="150"/>
      <c r="E360" s="152"/>
      <c r="F360" s="151"/>
      <c r="G360" s="151"/>
      <c r="H360" s="151"/>
      <c r="I360" s="151"/>
      <c r="J360" s="152"/>
      <c r="K360" s="152"/>
      <c r="L360" s="152"/>
      <c r="M360" s="152"/>
      <c r="N360" s="150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</row>
    <row r="361" customFormat="false" ht="11.25" hidden="false" customHeight="true" outlineLevel="0" collapsed="false">
      <c r="A361" s="89"/>
      <c r="B361" s="89"/>
      <c r="C361" s="89"/>
      <c r="D361" s="150"/>
      <c r="E361" s="152"/>
      <c r="F361" s="151"/>
      <c r="G361" s="151"/>
      <c r="H361" s="151"/>
      <c r="I361" s="151"/>
      <c r="J361" s="152"/>
      <c r="K361" s="152"/>
      <c r="L361" s="152"/>
      <c r="M361" s="152"/>
      <c r="N361" s="150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</row>
    <row r="362" customFormat="false" ht="11.25" hidden="false" customHeight="true" outlineLevel="0" collapsed="false">
      <c r="A362" s="89"/>
      <c r="B362" s="89"/>
      <c r="C362" s="89"/>
      <c r="D362" s="150"/>
      <c r="E362" s="152"/>
      <c r="F362" s="151"/>
      <c r="G362" s="151"/>
      <c r="H362" s="151"/>
      <c r="I362" s="151"/>
      <c r="J362" s="152"/>
      <c r="K362" s="152"/>
      <c r="L362" s="152"/>
      <c r="M362" s="152"/>
      <c r="N362" s="150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</row>
    <row r="363" customFormat="false" ht="11.25" hidden="false" customHeight="true" outlineLevel="0" collapsed="false">
      <c r="A363" s="89"/>
      <c r="B363" s="89"/>
      <c r="C363" s="89"/>
      <c r="D363" s="150"/>
      <c r="E363" s="152"/>
      <c r="F363" s="151"/>
      <c r="G363" s="151"/>
      <c r="H363" s="151"/>
      <c r="I363" s="151"/>
      <c r="J363" s="152"/>
      <c r="K363" s="152"/>
      <c r="L363" s="152"/>
      <c r="M363" s="152"/>
      <c r="N363" s="150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</row>
    <row r="364" customFormat="false" ht="11.25" hidden="false" customHeight="true" outlineLevel="0" collapsed="false">
      <c r="A364" s="89"/>
      <c r="B364" s="89"/>
      <c r="C364" s="89"/>
      <c r="D364" s="150"/>
      <c r="E364" s="152"/>
      <c r="F364" s="151"/>
      <c r="G364" s="151"/>
      <c r="H364" s="151"/>
      <c r="I364" s="151"/>
      <c r="J364" s="152"/>
      <c r="K364" s="152"/>
      <c r="L364" s="152"/>
      <c r="M364" s="152"/>
      <c r="N364" s="150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</row>
    <row r="365" customFormat="false" ht="11.25" hidden="false" customHeight="true" outlineLevel="0" collapsed="false">
      <c r="A365" s="89"/>
      <c r="B365" s="89"/>
      <c r="C365" s="89"/>
      <c r="D365" s="150"/>
      <c r="E365" s="152"/>
      <c r="F365" s="151"/>
      <c r="G365" s="151"/>
      <c r="H365" s="151"/>
      <c r="I365" s="151"/>
      <c r="J365" s="152"/>
      <c r="K365" s="152"/>
      <c r="L365" s="152"/>
      <c r="M365" s="152"/>
      <c r="N365" s="150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</row>
    <row r="366" customFormat="false" ht="11.25" hidden="false" customHeight="true" outlineLevel="0" collapsed="false">
      <c r="A366" s="89"/>
      <c r="B366" s="89"/>
      <c r="C366" s="89"/>
      <c r="D366" s="150"/>
      <c r="E366" s="152"/>
      <c r="F366" s="151"/>
      <c r="G366" s="151"/>
      <c r="H366" s="151"/>
      <c r="I366" s="151"/>
      <c r="J366" s="152"/>
      <c r="K366" s="152"/>
      <c r="L366" s="152"/>
      <c r="M366" s="152"/>
      <c r="N366" s="150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</row>
    <row r="367" customFormat="false" ht="11.25" hidden="false" customHeight="true" outlineLevel="0" collapsed="false">
      <c r="A367" s="89"/>
      <c r="B367" s="89"/>
      <c r="C367" s="89"/>
      <c r="D367" s="150"/>
      <c r="E367" s="152"/>
      <c r="F367" s="151"/>
      <c r="G367" s="151"/>
      <c r="H367" s="151"/>
      <c r="I367" s="151"/>
      <c r="J367" s="152"/>
      <c r="K367" s="152"/>
      <c r="L367" s="152"/>
      <c r="M367" s="152"/>
      <c r="N367" s="150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</row>
    <row r="368" customFormat="false" ht="11.25" hidden="false" customHeight="true" outlineLevel="0" collapsed="false">
      <c r="A368" s="89"/>
      <c r="B368" s="89"/>
      <c r="C368" s="89"/>
      <c r="D368" s="150"/>
      <c r="E368" s="152"/>
      <c r="F368" s="151"/>
      <c r="G368" s="151"/>
      <c r="H368" s="151"/>
      <c r="I368" s="151"/>
      <c r="J368" s="152"/>
      <c r="K368" s="152"/>
      <c r="L368" s="152"/>
      <c r="M368" s="152"/>
      <c r="N368" s="150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</row>
    <row r="369" customFormat="false" ht="11.25" hidden="false" customHeight="true" outlineLevel="0" collapsed="false">
      <c r="A369" s="89"/>
      <c r="B369" s="89"/>
      <c r="C369" s="89"/>
      <c r="D369" s="150"/>
      <c r="E369" s="152"/>
      <c r="F369" s="151"/>
      <c r="G369" s="151"/>
      <c r="H369" s="151"/>
      <c r="I369" s="151"/>
      <c r="J369" s="152"/>
      <c r="K369" s="152"/>
      <c r="L369" s="152"/>
      <c r="M369" s="152"/>
      <c r="N369" s="150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</row>
    <row r="370" customFormat="false" ht="11.25" hidden="false" customHeight="true" outlineLevel="0" collapsed="false">
      <c r="A370" s="89"/>
      <c r="B370" s="89"/>
      <c r="C370" s="89"/>
      <c r="D370" s="150"/>
      <c r="E370" s="152"/>
      <c r="F370" s="151"/>
      <c r="G370" s="151"/>
      <c r="H370" s="151"/>
      <c r="I370" s="151"/>
      <c r="J370" s="152"/>
      <c r="K370" s="152"/>
      <c r="L370" s="152"/>
      <c r="M370" s="152"/>
      <c r="N370" s="150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</row>
    <row r="371" customFormat="false" ht="11.25" hidden="false" customHeight="true" outlineLevel="0" collapsed="false">
      <c r="A371" s="89"/>
      <c r="B371" s="89"/>
      <c r="C371" s="89"/>
      <c r="D371" s="150"/>
      <c r="E371" s="152"/>
      <c r="F371" s="151"/>
      <c r="G371" s="151"/>
      <c r="H371" s="151"/>
      <c r="I371" s="151"/>
      <c r="J371" s="152"/>
      <c r="K371" s="152"/>
      <c r="L371" s="152"/>
      <c r="M371" s="152"/>
      <c r="N371" s="150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</row>
    <row r="372" customFormat="false" ht="11.25" hidden="false" customHeight="true" outlineLevel="0" collapsed="false">
      <c r="A372" s="89"/>
      <c r="B372" s="89"/>
      <c r="C372" s="89"/>
      <c r="D372" s="150"/>
      <c r="E372" s="152"/>
      <c r="F372" s="151"/>
      <c r="G372" s="151"/>
      <c r="H372" s="151"/>
      <c r="I372" s="151"/>
      <c r="J372" s="152"/>
      <c r="K372" s="152"/>
      <c r="L372" s="152"/>
      <c r="M372" s="152"/>
      <c r="N372" s="150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</row>
    <row r="373" customFormat="false" ht="11.25" hidden="false" customHeight="true" outlineLevel="0" collapsed="false">
      <c r="A373" s="89"/>
      <c r="B373" s="89"/>
      <c r="C373" s="89"/>
      <c r="D373" s="150"/>
      <c r="E373" s="152"/>
      <c r="F373" s="151"/>
      <c r="G373" s="151"/>
      <c r="H373" s="151"/>
      <c r="I373" s="151"/>
      <c r="J373" s="152"/>
      <c r="K373" s="152"/>
      <c r="L373" s="152"/>
      <c r="M373" s="152"/>
      <c r="N373" s="150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</row>
    <row r="374" customFormat="false" ht="11.25" hidden="false" customHeight="true" outlineLevel="0" collapsed="false">
      <c r="A374" s="89"/>
      <c r="B374" s="89"/>
      <c r="C374" s="89"/>
      <c r="D374" s="150"/>
      <c r="E374" s="152"/>
      <c r="F374" s="151"/>
      <c r="G374" s="151"/>
      <c r="H374" s="151"/>
      <c r="I374" s="151"/>
      <c r="J374" s="152"/>
      <c r="K374" s="152"/>
      <c r="L374" s="152"/>
      <c r="M374" s="152"/>
      <c r="N374" s="150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</row>
    <row r="375" customFormat="false" ht="11.25" hidden="false" customHeight="true" outlineLevel="0" collapsed="false">
      <c r="A375" s="89"/>
      <c r="B375" s="89"/>
      <c r="C375" s="89"/>
      <c r="D375" s="150"/>
      <c r="E375" s="152"/>
      <c r="F375" s="151"/>
      <c r="G375" s="151"/>
      <c r="H375" s="151"/>
      <c r="I375" s="151"/>
      <c r="J375" s="152"/>
      <c r="K375" s="152"/>
      <c r="L375" s="152"/>
      <c r="M375" s="152"/>
      <c r="N375" s="150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</row>
    <row r="376" customFormat="false" ht="11.25" hidden="false" customHeight="true" outlineLevel="0" collapsed="false">
      <c r="A376" s="89"/>
      <c r="B376" s="89"/>
      <c r="C376" s="89"/>
      <c r="D376" s="150"/>
      <c r="E376" s="152"/>
      <c r="F376" s="151"/>
      <c r="G376" s="151"/>
      <c r="H376" s="151"/>
      <c r="I376" s="151"/>
      <c r="J376" s="152"/>
      <c r="K376" s="152"/>
      <c r="L376" s="152"/>
      <c r="M376" s="152"/>
      <c r="N376" s="150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</row>
    <row r="377" customFormat="false" ht="11.25" hidden="false" customHeight="true" outlineLevel="0" collapsed="false">
      <c r="A377" s="89"/>
      <c r="B377" s="89"/>
      <c r="C377" s="89"/>
      <c r="D377" s="150"/>
      <c r="E377" s="152"/>
      <c r="F377" s="151"/>
      <c r="G377" s="151"/>
      <c r="H377" s="151"/>
      <c r="I377" s="151"/>
      <c r="J377" s="152"/>
      <c r="K377" s="152"/>
      <c r="L377" s="152"/>
      <c r="M377" s="152"/>
      <c r="N377" s="150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</row>
    <row r="378" customFormat="false" ht="11.25" hidden="false" customHeight="true" outlineLevel="0" collapsed="false">
      <c r="A378" s="89"/>
      <c r="B378" s="89"/>
      <c r="C378" s="89"/>
      <c r="D378" s="150"/>
      <c r="E378" s="152"/>
      <c r="F378" s="151"/>
      <c r="G378" s="151"/>
      <c r="H378" s="151"/>
      <c r="I378" s="151"/>
      <c r="J378" s="152"/>
      <c r="K378" s="152"/>
      <c r="L378" s="152"/>
      <c r="M378" s="152"/>
      <c r="N378" s="150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</row>
    <row r="379" customFormat="false" ht="11.25" hidden="false" customHeight="true" outlineLevel="0" collapsed="false">
      <c r="A379" s="89"/>
      <c r="B379" s="89"/>
      <c r="C379" s="89"/>
      <c r="D379" s="150"/>
      <c r="E379" s="152"/>
      <c r="F379" s="151"/>
      <c r="G379" s="151"/>
      <c r="H379" s="151"/>
      <c r="I379" s="151"/>
      <c r="J379" s="152"/>
      <c r="K379" s="152"/>
      <c r="L379" s="152"/>
      <c r="M379" s="152"/>
      <c r="N379" s="150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</row>
    <row r="380" customFormat="false" ht="11.25" hidden="false" customHeight="true" outlineLevel="0" collapsed="false">
      <c r="A380" s="89"/>
      <c r="B380" s="89"/>
      <c r="C380" s="89"/>
      <c r="D380" s="150"/>
      <c r="E380" s="152"/>
      <c r="F380" s="151"/>
      <c r="G380" s="151"/>
      <c r="H380" s="151"/>
      <c r="I380" s="151"/>
      <c r="J380" s="152"/>
      <c r="K380" s="152"/>
      <c r="L380" s="152"/>
      <c r="M380" s="152"/>
      <c r="N380" s="150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</row>
    <row r="381" customFormat="false" ht="11.25" hidden="false" customHeight="true" outlineLevel="0" collapsed="false">
      <c r="A381" s="89"/>
      <c r="B381" s="89"/>
      <c r="C381" s="89"/>
      <c r="D381" s="150"/>
      <c r="E381" s="152"/>
      <c r="F381" s="151"/>
      <c r="G381" s="151"/>
      <c r="H381" s="151"/>
      <c r="I381" s="151"/>
      <c r="J381" s="152"/>
      <c r="K381" s="152"/>
      <c r="L381" s="152"/>
      <c r="M381" s="152"/>
      <c r="N381" s="150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</row>
    <row r="382" customFormat="false" ht="11.25" hidden="false" customHeight="true" outlineLevel="0" collapsed="false">
      <c r="A382" s="89"/>
      <c r="B382" s="89"/>
      <c r="C382" s="89"/>
      <c r="D382" s="150"/>
      <c r="E382" s="152"/>
      <c r="F382" s="151"/>
      <c r="G382" s="151"/>
      <c r="H382" s="151"/>
      <c r="I382" s="151"/>
      <c r="J382" s="152"/>
      <c r="K382" s="152"/>
      <c r="L382" s="152"/>
      <c r="M382" s="152"/>
      <c r="N382" s="150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</row>
    <row r="383" customFormat="false" ht="11.25" hidden="false" customHeight="true" outlineLevel="0" collapsed="false">
      <c r="A383" s="89"/>
      <c r="B383" s="89"/>
      <c r="C383" s="89"/>
      <c r="D383" s="150"/>
      <c r="E383" s="152"/>
      <c r="F383" s="151"/>
      <c r="G383" s="151"/>
      <c r="H383" s="151"/>
      <c r="I383" s="151"/>
      <c r="J383" s="152"/>
      <c r="K383" s="152"/>
      <c r="L383" s="152"/>
      <c r="M383" s="152"/>
      <c r="N383" s="150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</row>
    <row r="384" customFormat="false" ht="11.25" hidden="false" customHeight="true" outlineLevel="0" collapsed="false">
      <c r="A384" s="89"/>
      <c r="B384" s="89"/>
      <c r="C384" s="89"/>
      <c r="D384" s="150"/>
      <c r="E384" s="152"/>
      <c r="F384" s="151"/>
      <c r="G384" s="151"/>
      <c r="H384" s="151"/>
      <c r="I384" s="151"/>
      <c r="J384" s="152"/>
      <c r="K384" s="152"/>
      <c r="L384" s="152"/>
      <c r="M384" s="152"/>
      <c r="N384" s="150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</row>
    <row r="385" customFormat="false" ht="11.25" hidden="false" customHeight="true" outlineLevel="0" collapsed="false">
      <c r="A385" s="89"/>
      <c r="B385" s="89"/>
      <c r="C385" s="89"/>
      <c r="D385" s="150"/>
      <c r="E385" s="152"/>
      <c r="F385" s="151"/>
      <c r="G385" s="151"/>
      <c r="H385" s="151"/>
      <c r="I385" s="151"/>
      <c r="J385" s="152"/>
      <c r="K385" s="152"/>
      <c r="L385" s="152"/>
      <c r="M385" s="152"/>
      <c r="N385" s="150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</row>
    <row r="386" customFormat="false" ht="11.25" hidden="false" customHeight="true" outlineLevel="0" collapsed="false">
      <c r="A386" s="89"/>
      <c r="B386" s="89"/>
      <c r="C386" s="89"/>
      <c r="D386" s="150"/>
      <c r="E386" s="152"/>
      <c r="F386" s="151"/>
      <c r="G386" s="151"/>
      <c r="H386" s="151"/>
      <c r="I386" s="151"/>
      <c r="J386" s="152"/>
      <c r="K386" s="152"/>
      <c r="L386" s="152"/>
      <c r="M386" s="152"/>
      <c r="N386" s="150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</row>
    <row r="387" customFormat="false" ht="11.25" hidden="false" customHeight="true" outlineLevel="0" collapsed="false">
      <c r="A387" s="89"/>
      <c r="B387" s="89"/>
      <c r="C387" s="89"/>
      <c r="D387" s="150"/>
      <c r="E387" s="152"/>
      <c r="F387" s="151"/>
      <c r="G387" s="151"/>
      <c r="H387" s="151"/>
      <c r="I387" s="151"/>
      <c r="J387" s="152"/>
      <c r="K387" s="152"/>
      <c r="L387" s="152"/>
      <c r="M387" s="152"/>
      <c r="N387" s="150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</row>
    <row r="388" customFormat="false" ht="11.25" hidden="false" customHeight="true" outlineLevel="0" collapsed="false">
      <c r="A388" s="89"/>
      <c r="B388" s="89"/>
      <c r="C388" s="89"/>
      <c r="D388" s="150"/>
      <c r="E388" s="152"/>
      <c r="F388" s="151"/>
      <c r="G388" s="151"/>
      <c r="H388" s="151"/>
      <c r="I388" s="151"/>
      <c r="J388" s="152"/>
      <c r="K388" s="152"/>
      <c r="L388" s="152"/>
      <c r="M388" s="152"/>
      <c r="N388" s="150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</row>
    <row r="389" customFormat="false" ht="11.25" hidden="false" customHeight="true" outlineLevel="0" collapsed="false">
      <c r="A389" s="89"/>
      <c r="B389" s="89"/>
      <c r="C389" s="89"/>
      <c r="D389" s="150"/>
      <c r="E389" s="152"/>
      <c r="F389" s="151"/>
      <c r="G389" s="151"/>
      <c r="H389" s="151"/>
      <c r="I389" s="151"/>
      <c r="J389" s="152"/>
      <c r="K389" s="152"/>
      <c r="L389" s="152"/>
      <c r="M389" s="152"/>
      <c r="N389" s="150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</row>
    <row r="390" customFormat="false" ht="11.25" hidden="false" customHeight="true" outlineLevel="0" collapsed="false">
      <c r="A390" s="89"/>
      <c r="B390" s="89"/>
      <c r="C390" s="89"/>
      <c r="D390" s="150"/>
      <c r="E390" s="152"/>
      <c r="F390" s="151"/>
      <c r="G390" s="151"/>
      <c r="H390" s="151"/>
      <c r="I390" s="151"/>
      <c r="J390" s="152"/>
      <c r="K390" s="152"/>
      <c r="L390" s="152"/>
      <c r="M390" s="152"/>
      <c r="N390" s="150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</row>
    <row r="391" customFormat="false" ht="11.25" hidden="false" customHeight="true" outlineLevel="0" collapsed="false">
      <c r="A391" s="89"/>
      <c r="B391" s="89"/>
      <c r="C391" s="89"/>
      <c r="D391" s="150"/>
      <c r="E391" s="152"/>
      <c r="F391" s="151"/>
      <c r="G391" s="151"/>
      <c r="H391" s="151"/>
      <c r="I391" s="151"/>
      <c r="J391" s="152"/>
      <c r="K391" s="152"/>
      <c r="L391" s="152"/>
      <c r="M391" s="152"/>
      <c r="N391" s="150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</row>
    <row r="392" customFormat="false" ht="11.25" hidden="false" customHeight="true" outlineLevel="0" collapsed="false">
      <c r="A392" s="89"/>
      <c r="B392" s="89"/>
      <c r="C392" s="89"/>
      <c r="D392" s="150"/>
      <c r="E392" s="152"/>
      <c r="F392" s="151"/>
      <c r="G392" s="151"/>
      <c r="H392" s="151"/>
      <c r="I392" s="151"/>
      <c r="J392" s="152"/>
      <c r="K392" s="152"/>
      <c r="L392" s="152"/>
      <c r="M392" s="152"/>
      <c r="N392" s="150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</row>
    <row r="393" customFormat="false" ht="11.25" hidden="false" customHeight="true" outlineLevel="0" collapsed="false">
      <c r="A393" s="89"/>
      <c r="B393" s="89"/>
      <c r="C393" s="89"/>
      <c r="D393" s="150"/>
      <c r="E393" s="152"/>
      <c r="F393" s="151"/>
      <c r="G393" s="151"/>
      <c r="H393" s="151"/>
      <c r="I393" s="151"/>
      <c r="J393" s="152"/>
      <c r="K393" s="152"/>
      <c r="L393" s="152"/>
      <c r="M393" s="152"/>
      <c r="N393" s="150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</row>
    <row r="394" customFormat="false" ht="11.25" hidden="false" customHeight="true" outlineLevel="0" collapsed="false">
      <c r="A394" s="89"/>
      <c r="B394" s="89"/>
      <c r="C394" s="89"/>
      <c r="D394" s="150"/>
      <c r="E394" s="152"/>
      <c r="F394" s="151"/>
      <c r="G394" s="151"/>
      <c r="H394" s="151"/>
      <c r="I394" s="151"/>
      <c r="J394" s="152"/>
      <c r="K394" s="152"/>
      <c r="L394" s="152"/>
      <c r="M394" s="152"/>
      <c r="N394" s="150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</row>
    <row r="395" customFormat="false" ht="11.25" hidden="false" customHeight="true" outlineLevel="0" collapsed="false">
      <c r="A395" s="89"/>
      <c r="B395" s="89"/>
      <c r="C395" s="89"/>
      <c r="D395" s="150"/>
      <c r="E395" s="152"/>
      <c r="F395" s="151"/>
      <c r="G395" s="151"/>
      <c r="H395" s="151"/>
      <c r="I395" s="151"/>
      <c r="J395" s="152"/>
      <c r="K395" s="152"/>
      <c r="L395" s="152"/>
      <c r="M395" s="152"/>
      <c r="N395" s="150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</row>
    <row r="396" customFormat="false" ht="11.25" hidden="false" customHeight="true" outlineLevel="0" collapsed="false">
      <c r="A396" s="89"/>
      <c r="B396" s="89"/>
      <c r="C396" s="89"/>
      <c r="D396" s="150"/>
      <c r="E396" s="152"/>
      <c r="F396" s="151"/>
      <c r="G396" s="151"/>
      <c r="H396" s="151"/>
      <c r="I396" s="151"/>
      <c r="J396" s="152"/>
      <c r="K396" s="152"/>
      <c r="L396" s="152"/>
      <c r="M396" s="152"/>
      <c r="N396" s="150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</row>
    <row r="397" customFormat="false" ht="11.25" hidden="false" customHeight="true" outlineLevel="0" collapsed="false">
      <c r="A397" s="89"/>
      <c r="B397" s="89"/>
      <c r="C397" s="89"/>
      <c r="D397" s="150"/>
      <c r="E397" s="152"/>
      <c r="F397" s="151"/>
      <c r="G397" s="151"/>
      <c r="H397" s="151"/>
      <c r="I397" s="151"/>
      <c r="J397" s="152"/>
      <c r="K397" s="152"/>
      <c r="L397" s="152"/>
      <c r="M397" s="152"/>
      <c r="N397" s="150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</row>
    <row r="398" customFormat="false" ht="11.25" hidden="false" customHeight="true" outlineLevel="0" collapsed="false">
      <c r="A398" s="89"/>
      <c r="B398" s="89"/>
      <c r="C398" s="89"/>
      <c r="D398" s="150"/>
      <c r="E398" s="152"/>
      <c r="F398" s="151"/>
      <c r="G398" s="151"/>
      <c r="H398" s="151"/>
      <c r="I398" s="151"/>
      <c r="J398" s="152"/>
      <c r="K398" s="152"/>
      <c r="L398" s="152"/>
      <c r="M398" s="152"/>
      <c r="N398" s="150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</row>
    <row r="399" customFormat="false" ht="11.25" hidden="false" customHeight="true" outlineLevel="0" collapsed="false">
      <c r="A399" s="89"/>
      <c r="B399" s="89"/>
      <c r="C399" s="89"/>
      <c r="D399" s="150"/>
      <c r="E399" s="152"/>
      <c r="F399" s="151"/>
      <c r="G399" s="151"/>
      <c r="H399" s="151"/>
      <c r="I399" s="151"/>
      <c r="J399" s="152"/>
      <c r="K399" s="152"/>
      <c r="L399" s="152"/>
      <c r="M399" s="152"/>
      <c r="N399" s="150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</row>
    <row r="400" customFormat="false" ht="11.25" hidden="false" customHeight="true" outlineLevel="0" collapsed="false">
      <c r="A400" s="89"/>
      <c r="B400" s="89"/>
      <c r="C400" s="89"/>
      <c r="D400" s="150"/>
      <c r="E400" s="152"/>
      <c r="F400" s="151"/>
      <c r="G400" s="151"/>
      <c r="H400" s="151"/>
      <c r="I400" s="151"/>
      <c r="J400" s="152"/>
      <c r="K400" s="152"/>
      <c r="L400" s="152"/>
      <c r="M400" s="152"/>
      <c r="N400" s="150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</row>
    <row r="401" customFormat="false" ht="11.25" hidden="false" customHeight="true" outlineLevel="0" collapsed="false">
      <c r="A401" s="89"/>
      <c r="B401" s="89"/>
      <c r="C401" s="89"/>
      <c r="D401" s="150"/>
      <c r="E401" s="152"/>
      <c r="F401" s="151"/>
      <c r="G401" s="151"/>
      <c r="H401" s="151"/>
      <c r="I401" s="151"/>
      <c r="J401" s="152"/>
      <c r="K401" s="152"/>
      <c r="L401" s="152"/>
      <c r="M401" s="152"/>
      <c r="N401" s="150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</row>
    <row r="402" customFormat="false" ht="11.25" hidden="false" customHeight="true" outlineLevel="0" collapsed="false">
      <c r="A402" s="89"/>
      <c r="B402" s="89"/>
      <c r="C402" s="89"/>
      <c r="D402" s="150"/>
      <c r="E402" s="152"/>
      <c r="F402" s="151"/>
      <c r="G402" s="151"/>
      <c r="H402" s="151"/>
      <c r="I402" s="151"/>
      <c r="J402" s="152"/>
      <c r="K402" s="152"/>
      <c r="L402" s="152"/>
      <c r="M402" s="152"/>
      <c r="N402" s="150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</row>
    <row r="403" customFormat="false" ht="11.25" hidden="false" customHeight="true" outlineLevel="0" collapsed="false">
      <c r="A403" s="89"/>
      <c r="B403" s="89"/>
      <c r="C403" s="89"/>
      <c r="D403" s="150"/>
      <c r="E403" s="152"/>
      <c r="F403" s="151"/>
      <c r="G403" s="151"/>
      <c r="H403" s="151"/>
      <c r="I403" s="151"/>
      <c r="J403" s="152"/>
      <c r="K403" s="152"/>
      <c r="L403" s="152"/>
      <c r="M403" s="152"/>
      <c r="N403" s="150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</row>
    <row r="404" customFormat="false" ht="11.25" hidden="false" customHeight="true" outlineLevel="0" collapsed="false">
      <c r="A404" s="89"/>
      <c r="B404" s="89"/>
      <c r="C404" s="89"/>
      <c r="D404" s="150"/>
      <c r="E404" s="152"/>
      <c r="F404" s="151"/>
      <c r="G404" s="151"/>
      <c r="H404" s="151"/>
      <c r="I404" s="151"/>
      <c r="J404" s="152"/>
      <c r="K404" s="152"/>
      <c r="L404" s="152"/>
      <c r="M404" s="152"/>
      <c r="N404" s="150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</row>
    <row r="405" customFormat="false" ht="11.25" hidden="false" customHeight="true" outlineLevel="0" collapsed="false">
      <c r="A405" s="89"/>
      <c r="B405" s="89"/>
      <c r="C405" s="89"/>
      <c r="D405" s="150"/>
      <c r="E405" s="152"/>
      <c r="F405" s="151"/>
      <c r="G405" s="151"/>
      <c r="H405" s="151"/>
      <c r="I405" s="151"/>
      <c r="J405" s="152"/>
      <c r="K405" s="152"/>
      <c r="L405" s="152"/>
      <c r="M405" s="152"/>
      <c r="N405" s="150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</row>
    <row r="406" customFormat="false" ht="11.25" hidden="false" customHeight="true" outlineLevel="0" collapsed="false">
      <c r="A406" s="89"/>
      <c r="B406" s="89"/>
      <c r="C406" s="89"/>
      <c r="D406" s="150"/>
      <c r="E406" s="152"/>
      <c r="F406" s="151"/>
      <c r="G406" s="151"/>
      <c r="H406" s="151"/>
      <c r="I406" s="151"/>
      <c r="J406" s="152"/>
      <c r="K406" s="152"/>
      <c r="L406" s="152"/>
      <c r="M406" s="152"/>
      <c r="N406" s="150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</row>
    <row r="407" customFormat="false" ht="11.25" hidden="false" customHeight="true" outlineLevel="0" collapsed="false">
      <c r="A407" s="89"/>
      <c r="B407" s="89"/>
      <c r="C407" s="89"/>
      <c r="D407" s="150"/>
      <c r="E407" s="152"/>
      <c r="F407" s="151"/>
      <c r="G407" s="151"/>
      <c r="H407" s="151"/>
      <c r="I407" s="151"/>
      <c r="J407" s="152"/>
      <c r="K407" s="152"/>
      <c r="L407" s="152"/>
      <c r="M407" s="152"/>
      <c r="N407" s="150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</row>
    <row r="408" customFormat="false" ht="11.25" hidden="false" customHeight="true" outlineLevel="0" collapsed="false">
      <c r="A408" s="89"/>
      <c r="B408" s="89"/>
      <c r="C408" s="89"/>
      <c r="D408" s="150"/>
      <c r="E408" s="152"/>
      <c r="F408" s="151"/>
      <c r="G408" s="151"/>
      <c r="H408" s="151"/>
      <c r="I408" s="151"/>
      <c r="J408" s="152"/>
      <c r="K408" s="152"/>
      <c r="L408" s="152"/>
      <c r="M408" s="152"/>
      <c r="N408" s="150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</row>
    <row r="409" customFormat="false" ht="11.25" hidden="false" customHeight="true" outlineLevel="0" collapsed="false">
      <c r="A409" s="89"/>
      <c r="B409" s="89"/>
      <c r="C409" s="89"/>
      <c r="D409" s="150"/>
      <c r="E409" s="152"/>
      <c r="F409" s="151"/>
      <c r="G409" s="151"/>
      <c r="H409" s="151"/>
      <c r="I409" s="151"/>
      <c r="J409" s="152"/>
      <c r="K409" s="152"/>
      <c r="L409" s="152"/>
      <c r="M409" s="152"/>
      <c r="N409" s="150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</row>
    <row r="410" customFormat="false" ht="11.25" hidden="false" customHeight="true" outlineLevel="0" collapsed="false">
      <c r="A410" s="89"/>
      <c r="B410" s="89"/>
      <c r="C410" s="89"/>
      <c r="D410" s="150"/>
      <c r="E410" s="152"/>
      <c r="F410" s="151"/>
      <c r="G410" s="151"/>
      <c r="H410" s="151"/>
      <c r="I410" s="151"/>
      <c r="J410" s="152"/>
      <c r="K410" s="152"/>
      <c r="L410" s="152"/>
      <c r="M410" s="152"/>
      <c r="N410" s="150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</row>
    <row r="411" customFormat="false" ht="11.25" hidden="false" customHeight="true" outlineLevel="0" collapsed="false">
      <c r="A411" s="89"/>
      <c r="B411" s="89"/>
      <c r="C411" s="89"/>
      <c r="D411" s="150"/>
      <c r="E411" s="152"/>
      <c r="F411" s="151"/>
      <c r="G411" s="151"/>
      <c r="H411" s="151"/>
      <c r="I411" s="151"/>
      <c r="J411" s="152"/>
      <c r="K411" s="152"/>
      <c r="L411" s="152"/>
      <c r="M411" s="152"/>
      <c r="N411" s="150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</row>
    <row r="412" customFormat="false" ht="11.25" hidden="false" customHeight="true" outlineLevel="0" collapsed="false">
      <c r="A412" s="89"/>
      <c r="B412" s="89"/>
      <c r="C412" s="89"/>
      <c r="D412" s="150"/>
      <c r="E412" s="152"/>
      <c r="F412" s="151"/>
      <c r="G412" s="151"/>
      <c r="H412" s="151"/>
      <c r="I412" s="151"/>
      <c r="J412" s="152"/>
      <c r="K412" s="152"/>
      <c r="L412" s="152"/>
      <c r="M412" s="152"/>
      <c r="N412" s="150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</row>
    <row r="413" customFormat="false" ht="11.25" hidden="false" customHeight="true" outlineLevel="0" collapsed="false">
      <c r="A413" s="89"/>
      <c r="B413" s="89"/>
      <c r="C413" s="89"/>
      <c r="D413" s="150"/>
      <c r="E413" s="152"/>
      <c r="F413" s="151"/>
      <c r="G413" s="151"/>
      <c r="H413" s="151"/>
      <c r="I413" s="151"/>
      <c r="J413" s="152"/>
      <c r="K413" s="152"/>
      <c r="L413" s="152"/>
      <c r="M413" s="152"/>
      <c r="N413" s="150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</row>
    <row r="414" customFormat="false" ht="11.25" hidden="false" customHeight="true" outlineLevel="0" collapsed="false">
      <c r="A414" s="89"/>
      <c r="B414" s="89"/>
      <c r="C414" s="89"/>
      <c r="D414" s="150"/>
      <c r="E414" s="152"/>
      <c r="F414" s="151"/>
      <c r="G414" s="151"/>
      <c r="H414" s="151"/>
      <c r="I414" s="151"/>
      <c r="J414" s="152"/>
      <c r="K414" s="152"/>
      <c r="L414" s="152"/>
      <c r="M414" s="152"/>
      <c r="N414" s="150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</row>
    <row r="415" customFormat="false" ht="11.25" hidden="false" customHeight="true" outlineLevel="0" collapsed="false">
      <c r="A415" s="89"/>
      <c r="B415" s="89"/>
      <c r="C415" s="89"/>
      <c r="D415" s="150"/>
      <c r="E415" s="152"/>
      <c r="F415" s="151"/>
      <c r="G415" s="151"/>
      <c r="H415" s="151"/>
      <c r="I415" s="151"/>
      <c r="J415" s="152"/>
      <c r="K415" s="152"/>
      <c r="L415" s="152"/>
      <c r="M415" s="152"/>
      <c r="N415" s="150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</row>
    <row r="416" customFormat="false" ht="11.25" hidden="false" customHeight="true" outlineLevel="0" collapsed="false">
      <c r="A416" s="89"/>
      <c r="B416" s="89"/>
      <c r="C416" s="89"/>
      <c r="D416" s="150"/>
      <c r="E416" s="152"/>
      <c r="F416" s="151"/>
      <c r="G416" s="151"/>
      <c r="H416" s="151"/>
      <c r="I416" s="151"/>
      <c r="J416" s="152"/>
      <c r="K416" s="152"/>
      <c r="L416" s="152"/>
      <c r="M416" s="152"/>
      <c r="N416" s="150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</row>
    <row r="417" customFormat="false" ht="11.25" hidden="false" customHeight="true" outlineLevel="0" collapsed="false">
      <c r="A417" s="89"/>
      <c r="B417" s="89"/>
      <c r="C417" s="89"/>
      <c r="D417" s="150"/>
      <c r="E417" s="152"/>
      <c r="F417" s="151"/>
      <c r="G417" s="151"/>
      <c r="H417" s="151"/>
      <c r="I417" s="151"/>
      <c r="J417" s="152"/>
      <c r="K417" s="152"/>
      <c r="L417" s="152"/>
      <c r="M417" s="152"/>
      <c r="N417" s="150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</row>
    <row r="418" customFormat="false" ht="11.25" hidden="false" customHeight="true" outlineLevel="0" collapsed="false">
      <c r="A418" s="89"/>
      <c r="B418" s="89"/>
      <c r="C418" s="89"/>
      <c r="D418" s="150"/>
      <c r="E418" s="152"/>
      <c r="F418" s="151"/>
      <c r="G418" s="151"/>
      <c r="H418" s="151"/>
      <c r="I418" s="151"/>
      <c r="J418" s="152"/>
      <c r="K418" s="152"/>
      <c r="L418" s="152"/>
      <c r="M418" s="152"/>
      <c r="N418" s="150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</row>
    <row r="419" customFormat="false" ht="11.25" hidden="false" customHeight="true" outlineLevel="0" collapsed="false">
      <c r="A419" s="89"/>
      <c r="B419" s="89"/>
      <c r="C419" s="89"/>
      <c r="D419" s="150"/>
      <c r="E419" s="152"/>
      <c r="F419" s="151"/>
      <c r="G419" s="151"/>
      <c r="H419" s="151"/>
      <c r="I419" s="151"/>
      <c r="J419" s="152"/>
      <c r="K419" s="152"/>
      <c r="L419" s="152"/>
      <c r="M419" s="152"/>
      <c r="N419" s="150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</row>
    <row r="420" customFormat="false" ht="11.25" hidden="false" customHeight="true" outlineLevel="0" collapsed="false">
      <c r="A420" s="89"/>
      <c r="B420" s="89"/>
      <c r="C420" s="89"/>
      <c r="D420" s="150"/>
      <c r="E420" s="152"/>
      <c r="F420" s="151"/>
      <c r="G420" s="151"/>
      <c r="H420" s="151"/>
      <c r="I420" s="151"/>
      <c r="J420" s="152"/>
      <c r="K420" s="152"/>
      <c r="L420" s="152"/>
      <c r="M420" s="152"/>
      <c r="N420" s="150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</row>
    <row r="421" customFormat="false" ht="11.25" hidden="false" customHeight="true" outlineLevel="0" collapsed="false">
      <c r="A421" s="89"/>
      <c r="B421" s="89"/>
      <c r="C421" s="89"/>
      <c r="D421" s="150"/>
      <c r="E421" s="152"/>
      <c r="F421" s="151"/>
      <c r="G421" s="151"/>
      <c r="H421" s="151"/>
      <c r="I421" s="151"/>
      <c r="J421" s="152"/>
      <c r="K421" s="152"/>
      <c r="L421" s="152"/>
      <c r="M421" s="152"/>
      <c r="N421" s="150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</row>
    <row r="422" customFormat="false" ht="11.25" hidden="false" customHeight="true" outlineLevel="0" collapsed="false">
      <c r="A422" s="89"/>
      <c r="B422" s="89"/>
      <c r="C422" s="89"/>
      <c r="D422" s="150"/>
      <c r="E422" s="152"/>
      <c r="F422" s="151"/>
      <c r="G422" s="151"/>
      <c r="H422" s="151"/>
      <c r="I422" s="151"/>
      <c r="J422" s="152"/>
      <c r="K422" s="152"/>
      <c r="L422" s="152"/>
      <c r="M422" s="152"/>
      <c r="N422" s="150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</row>
    <row r="423" customFormat="false" ht="11.25" hidden="false" customHeight="true" outlineLevel="0" collapsed="false">
      <c r="A423" s="89"/>
      <c r="B423" s="89"/>
      <c r="C423" s="89"/>
      <c r="D423" s="150"/>
      <c r="E423" s="152"/>
      <c r="F423" s="151"/>
      <c r="G423" s="151"/>
      <c r="H423" s="151"/>
      <c r="I423" s="151"/>
      <c r="J423" s="152"/>
      <c r="K423" s="152"/>
      <c r="L423" s="152"/>
      <c r="M423" s="152"/>
      <c r="N423" s="150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</row>
    <row r="424" customFormat="false" ht="11.25" hidden="false" customHeight="true" outlineLevel="0" collapsed="false">
      <c r="A424" s="89"/>
      <c r="B424" s="89"/>
      <c r="C424" s="89"/>
      <c r="D424" s="150"/>
      <c r="E424" s="152"/>
      <c r="F424" s="151"/>
      <c r="G424" s="151"/>
      <c r="H424" s="151"/>
      <c r="I424" s="151"/>
      <c r="J424" s="152"/>
      <c r="K424" s="152"/>
      <c r="L424" s="152"/>
      <c r="M424" s="152"/>
      <c r="N424" s="150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</row>
    <row r="425" customFormat="false" ht="11.25" hidden="false" customHeight="true" outlineLevel="0" collapsed="false">
      <c r="A425" s="89"/>
      <c r="B425" s="89"/>
      <c r="C425" s="89"/>
      <c r="D425" s="150"/>
      <c r="E425" s="152"/>
      <c r="F425" s="151"/>
      <c r="G425" s="151"/>
      <c r="H425" s="151"/>
      <c r="I425" s="151"/>
      <c r="J425" s="152"/>
      <c r="K425" s="152"/>
      <c r="L425" s="152"/>
      <c r="M425" s="152"/>
      <c r="N425" s="150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</row>
    <row r="426" customFormat="false" ht="11.25" hidden="false" customHeight="true" outlineLevel="0" collapsed="false">
      <c r="A426" s="89"/>
      <c r="B426" s="89"/>
      <c r="C426" s="89"/>
      <c r="D426" s="150"/>
      <c r="E426" s="152"/>
      <c r="F426" s="151"/>
      <c r="G426" s="151"/>
      <c r="H426" s="151"/>
      <c r="I426" s="151"/>
      <c r="J426" s="152"/>
      <c r="K426" s="152"/>
      <c r="L426" s="152"/>
      <c r="M426" s="152"/>
      <c r="N426" s="150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</row>
    <row r="427" customFormat="false" ht="11.25" hidden="false" customHeight="true" outlineLevel="0" collapsed="false">
      <c r="A427" s="89"/>
      <c r="B427" s="89"/>
      <c r="C427" s="89"/>
      <c r="D427" s="150"/>
      <c r="E427" s="152"/>
      <c r="F427" s="151"/>
      <c r="G427" s="151"/>
      <c r="H427" s="151"/>
      <c r="I427" s="151"/>
      <c r="J427" s="152"/>
      <c r="K427" s="152"/>
      <c r="L427" s="152"/>
      <c r="M427" s="152"/>
      <c r="N427" s="150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</row>
    <row r="428" customFormat="false" ht="11.25" hidden="false" customHeight="true" outlineLevel="0" collapsed="false">
      <c r="A428" s="89"/>
      <c r="B428" s="89"/>
      <c r="C428" s="89"/>
      <c r="D428" s="150"/>
      <c r="E428" s="152"/>
      <c r="F428" s="151"/>
      <c r="G428" s="151"/>
      <c r="H428" s="151"/>
      <c r="I428" s="151"/>
      <c r="J428" s="152"/>
      <c r="K428" s="152"/>
      <c r="L428" s="152"/>
      <c r="M428" s="152"/>
      <c r="N428" s="150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</row>
    <row r="429" customFormat="false" ht="11.25" hidden="false" customHeight="true" outlineLevel="0" collapsed="false">
      <c r="A429" s="89"/>
      <c r="B429" s="89"/>
      <c r="C429" s="89"/>
      <c r="D429" s="150"/>
      <c r="E429" s="152"/>
      <c r="F429" s="151"/>
      <c r="G429" s="151"/>
      <c r="H429" s="151"/>
      <c r="I429" s="151"/>
      <c r="J429" s="152"/>
      <c r="K429" s="152"/>
      <c r="L429" s="152"/>
      <c r="M429" s="152"/>
      <c r="N429" s="150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</row>
    <row r="430" customFormat="false" ht="11.25" hidden="false" customHeight="true" outlineLevel="0" collapsed="false">
      <c r="A430" s="89"/>
      <c r="B430" s="89"/>
      <c r="C430" s="89"/>
      <c r="D430" s="150"/>
      <c r="E430" s="152"/>
      <c r="F430" s="151"/>
      <c r="G430" s="151"/>
      <c r="H430" s="151"/>
      <c r="I430" s="151"/>
      <c r="J430" s="152"/>
      <c r="K430" s="152"/>
      <c r="L430" s="152"/>
      <c r="M430" s="152"/>
      <c r="N430" s="150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</row>
    <row r="431" customFormat="false" ht="11.25" hidden="false" customHeight="true" outlineLevel="0" collapsed="false">
      <c r="A431" s="89"/>
      <c r="B431" s="89"/>
      <c r="C431" s="89"/>
      <c r="D431" s="150"/>
      <c r="E431" s="152"/>
      <c r="F431" s="151"/>
      <c r="G431" s="151"/>
      <c r="H431" s="151"/>
      <c r="I431" s="151"/>
      <c r="J431" s="152"/>
      <c r="K431" s="152"/>
      <c r="L431" s="152"/>
      <c r="M431" s="152"/>
      <c r="N431" s="150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</row>
    <row r="432" customFormat="false" ht="11.25" hidden="false" customHeight="true" outlineLevel="0" collapsed="false">
      <c r="A432" s="89"/>
      <c r="B432" s="89"/>
      <c r="C432" s="89"/>
      <c r="D432" s="150"/>
      <c r="E432" s="152"/>
      <c r="F432" s="151"/>
      <c r="G432" s="151"/>
      <c r="H432" s="151"/>
      <c r="I432" s="151"/>
      <c r="J432" s="152"/>
      <c r="K432" s="152"/>
      <c r="L432" s="152"/>
      <c r="M432" s="152"/>
      <c r="N432" s="150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</row>
    <row r="433" customFormat="false" ht="11.25" hidden="false" customHeight="true" outlineLevel="0" collapsed="false">
      <c r="A433" s="89"/>
      <c r="B433" s="89"/>
      <c r="C433" s="89"/>
      <c r="D433" s="150"/>
      <c r="E433" s="152"/>
      <c r="F433" s="151"/>
      <c r="G433" s="151"/>
      <c r="H433" s="151"/>
      <c r="I433" s="151"/>
      <c r="J433" s="152"/>
      <c r="K433" s="152"/>
      <c r="L433" s="152"/>
      <c r="M433" s="152"/>
      <c r="N433" s="150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</row>
    <row r="434" customFormat="false" ht="11.25" hidden="false" customHeight="true" outlineLevel="0" collapsed="false">
      <c r="A434" s="89"/>
      <c r="B434" s="89"/>
      <c r="C434" s="89"/>
      <c r="D434" s="150"/>
      <c r="E434" s="152"/>
      <c r="F434" s="151"/>
      <c r="G434" s="151"/>
      <c r="H434" s="151"/>
      <c r="I434" s="151"/>
      <c r="J434" s="152"/>
      <c r="K434" s="152"/>
      <c r="L434" s="152"/>
      <c r="M434" s="152"/>
      <c r="N434" s="150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</row>
    <row r="435" customFormat="false" ht="11.25" hidden="false" customHeight="true" outlineLevel="0" collapsed="false">
      <c r="A435" s="89"/>
      <c r="B435" s="89"/>
      <c r="C435" s="89"/>
      <c r="D435" s="150"/>
      <c r="E435" s="152"/>
      <c r="F435" s="151"/>
      <c r="G435" s="151"/>
      <c r="H435" s="151"/>
      <c r="I435" s="151"/>
      <c r="J435" s="152"/>
      <c r="K435" s="152"/>
      <c r="L435" s="152"/>
      <c r="M435" s="152"/>
      <c r="N435" s="150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</row>
    <row r="436" customFormat="false" ht="11.25" hidden="false" customHeight="true" outlineLevel="0" collapsed="false">
      <c r="A436" s="89"/>
      <c r="B436" s="89"/>
      <c r="C436" s="89"/>
      <c r="D436" s="150"/>
      <c r="E436" s="152"/>
      <c r="F436" s="151"/>
      <c r="G436" s="151"/>
      <c r="H436" s="151"/>
      <c r="I436" s="151"/>
      <c r="J436" s="152"/>
      <c r="K436" s="152"/>
      <c r="L436" s="152"/>
      <c r="M436" s="152"/>
      <c r="N436" s="150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</row>
    <row r="437" customFormat="false" ht="11.25" hidden="false" customHeight="true" outlineLevel="0" collapsed="false">
      <c r="A437" s="89"/>
      <c r="B437" s="89"/>
      <c r="C437" s="89"/>
      <c r="D437" s="150"/>
      <c r="E437" s="152"/>
      <c r="F437" s="151"/>
      <c r="G437" s="151"/>
      <c r="H437" s="151"/>
      <c r="I437" s="151"/>
      <c r="J437" s="152"/>
      <c r="K437" s="152"/>
      <c r="L437" s="152"/>
      <c r="M437" s="152"/>
      <c r="N437" s="150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</row>
    <row r="438" customFormat="false" ht="11.25" hidden="false" customHeight="true" outlineLevel="0" collapsed="false">
      <c r="A438" s="89"/>
      <c r="B438" s="89"/>
      <c r="C438" s="89"/>
      <c r="D438" s="150"/>
      <c r="E438" s="152"/>
      <c r="F438" s="151"/>
      <c r="G438" s="151"/>
      <c r="H438" s="151"/>
      <c r="I438" s="151"/>
      <c r="J438" s="152"/>
      <c r="K438" s="152"/>
      <c r="L438" s="152"/>
      <c r="M438" s="152"/>
      <c r="N438" s="150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</row>
    <row r="439" customFormat="false" ht="11.25" hidden="false" customHeight="true" outlineLevel="0" collapsed="false">
      <c r="A439" s="89"/>
      <c r="B439" s="89"/>
      <c r="C439" s="89"/>
      <c r="D439" s="150"/>
      <c r="E439" s="152"/>
      <c r="F439" s="151"/>
      <c r="G439" s="151"/>
      <c r="H439" s="151"/>
      <c r="I439" s="151"/>
      <c r="J439" s="152"/>
      <c r="K439" s="152"/>
      <c r="L439" s="152"/>
      <c r="M439" s="152"/>
      <c r="N439" s="150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</row>
    <row r="440" customFormat="false" ht="11.25" hidden="false" customHeight="true" outlineLevel="0" collapsed="false">
      <c r="A440" s="89"/>
      <c r="B440" s="89"/>
      <c r="C440" s="89"/>
      <c r="D440" s="150"/>
      <c r="E440" s="152"/>
      <c r="F440" s="151"/>
      <c r="G440" s="151"/>
      <c r="H440" s="151"/>
      <c r="I440" s="151"/>
      <c r="J440" s="152"/>
      <c r="K440" s="152"/>
      <c r="L440" s="152"/>
      <c r="M440" s="152"/>
      <c r="N440" s="150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</row>
    <row r="441" customFormat="false" ht="11.25" hidden="false" customHeight="true" outlineLevel="0" collapsed="false">
      <c r="A441" s="89"/>
      <c r="B441" s="89"/>
      <c r="C441" s="89"/>
      <c r="D441" s="150"/>
      <c r="E441" s="152"/>
      <c r="F441" s="151"/>
      <c r="G441" s="151"/>
      <c r="H441" s="151"/>
      <c r="I441" s="151"/>
      <c r="J441" s="152"/>
      <c r="K441" s="152"/>
      <c r="L441" s="152"/>
      <c r="M441" s="152"/>
      <c r="N441" s="150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</row>
    <row r="442" customFormat="false" ht="11.25" hidden="false" customHeight="true" outlineLevel="0" collapsed="false">
      <c r="A442" s="89"/>
      <c r="B442" s="89"/>
      <c r="C442" s="89"/>
      <c r="D442" s="150"/>
      <c r="E442" s="152"/>
      <c r="F442" s="151"/>
      <c r="G442" s="151"/>
      <c r="H442" s="151"/>
      <c r="I442" s="151"/>
      <c r="J442" s="152"/>
      <c r="K442" s="152"/>
      <c r="L442" s="152"/>
      <c r="M442" s="152"/>
      <c r="N442" s="150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</row>
    <row r="443" customFormat="false" ht="11.25" hidden="false" customHeight="true" outlineLevel="0" collapsed="false">
      <c r="A443" s="89"/>
      <c r="B443" s="89"/>
      <c r="C443" s="89"/>
      <c r="D443" s="150"/>
      <c r="E443" s="152"/>
      <c r="F443" s="151"/>
      <c r="G443" s="151"/>
      <c r="H443" s="151"/>
      <c r="I443" s="151"/>
      <c r="J443" s="152"/>
      <c r="K443" s="152"/>
      <c r="L443" s="152"/>
      <c r="M443" s="152"/>
      <c r="N443" s="150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</row>
    <row r="444" customFormat="false" ht="11.25" hidden="false" customHeight="true" outlineLevel="0" collapsed="false">
      <c r="A444" s="89"/>
      <c r="B444" s="89"/>
      <c r="C444" s="89"/>
      <c r="D444" s="150"/>
      <c r="E444" s="152"/>
      <c r="F444" s="151"/>
      <c r="G444" s="151"/>
      <c r="H444" s="151"/>
      <c r="I444" s="151"/>
      <c r="J444" s="152"/>
      <c r="K444" s="152"/>
      <c r="L444" s="152"/>
      <c r="M444" s="152"/>
      <c r="N444" s="150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</row>
    <row r="445" customFormat="false" ht="11.25" hidden="false" customHeight="true" outlineLevel="0" collapsed="false">
      <c r="A445" s="89"/>
      <c r="B445" s="89"/>
      <c r="C445" s="89"/>
      <c r="D445" s="150"/>
      <c r="E445" s="152"/>
      <c r="F445" s="151"/>
      <c r="G445" s="151"/>
      <c r="H445" s="151"/>
      <c r="I445" s="151"/>
      <c r="J445" s="152"/>
      <c r="K445" s="152"/>
      <c r="L445" s="152"/>
      <c r="M445" s="152"/>
      <c r="N445" s="150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</row>
    <row r="446" customFormat="false" ht="11.25" hidden="false" customHeight="true" outlineLevel="0" collapsed="false">
      <c r="A446" s="89"/>
      <c r="B446" s="89"/>
      <c r="C446" s="89"/>
      <c r="D446" s="150"/>
      <c r="E446" s="152"/>
      <c r="F446" s="151"/>
      <c r="G446" s="151"/>
      <c r="H446" s="151"/>
      <c r="I446" s="151"/>
      <c r="J446" s="152"/>
      <c r="K446" s="152"/>
      <c r="L446" s="152"/>
      <c r="M446" s="152"/>
      <c r="N446" s="150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</row>
    <row r="447" customFormat="false" ht="11.25" hidden="false" customHeight="true" outlineLevel="0" collapsed="false">
      <c r="A447" s="89"/>
      <c r="B447" s="89"/>
      <c r="C447" s="89"/>
      <c r="D447" s="150"/>
      <c r="E447" s="152"/>
      <c r="F447" s="151"/>
      <c r="G447" s="151"/>
      <c r="H447" s="151"/>
      <c r="I447" s="151"/>
      <c r="J447" s="152"/>
      <c r="K447" s="152"/>
      <c r="L447" s="152"/>
      <c r="M447" s="152"/>
      <c r="N447" s="150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</row>
    <row r="448" customFormat="false" ht="11.25" hidden="false" customHeight="true" outlineLevel="0" collapsed="false">
      <c r="A448" s="89"/>
      <c r="B448" s="89"/>
      <c r="C448" s="89"/>
      <c r="D448" s="150"/>
      <c r="E448" s="152"/>
      <c r="F448" s="151"/>
      <c r="G448" s="151"/>
      <c r="H448" s="151"/>
      <c r="I448" s="151"/>
      <c r="J448" s="152"/>
      <c r="K448" s="152"/>
      <c r="L448" s="152"/>
      <c r="M448" s="152"/>
      <c r="N448" s="150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</row>
    <row r="449" customFormat="false" ht="11.25" hidden="false" customHeight="true" outlineLevel="0" collapsed="false">
      <c r="A449" s="89"/>
      <c r="B449" s="89"/>
      <c r="C449" s="89"/>
      <c r="D449" s="150"/>
      <c r="E449" s="152"/>
      <c r="F449" s="151"/>
      <c r="G449" s="151"/>
      <c r="H449" s="151"/>
      <c r="I449" s="151"/>
      <c r="J449" s="152"/>
      <c r="K449" s="152"/>
      <c r="L449" s="152"/>
      <c r="M449" s="152"/>
      <c r="N449" s="150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</row>
    <row r="450" customFormat="false" ht="11.25" hidden="false" customHeight="true" outlineLevel="0" collapsed="false">
      <c r="A450" s="89"/>
      <c r="B450" s="89"/>
      <c r="C450" s="89"/>
      <c r="D450" s="150"/>
      <c r="E450" s="152"/>
      <c r="F450" s="151"/>
      <c r="G450" s="151"/>
      <c r="H450" s="151"/>
      <c r="I450" s="151"/>
      <c r="J450" s="152"/>
      <c r="K450" s="152"/>
      <c r="L450" s="152"/>
      <c r="M450" s="152"/>
      <c r="N450" s="150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</row>
    <row r="451" customFormat="false" ht="11.25" hidden="false" customHeight="true" outlineLevel="0" collapsed="false">
      <c r="A451" s="89"/>
      <c r="B451" s="89"/>
      <c r="C451" s="89"/>
      <c r="D451" s="150"/>
      <c r="E451" s="152"/>
      <c r="F451" s="151"/>
      <c r="G451" s="151"/>
      <c r="H451" s="151"/>
      <c r="I451" s="151"/>
      <c r="J451" s="152"/>
      <c r="K451" s="152"/>
      <c r="L451" s="152"/>
      <c r="M451" s="152"/>
      <c r="N451" s="150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</row>
    <row r="452" customFormat="false" ht="11.25" hidden="false" customHeight="true" outlineLevel="0" collapsed="false">
      <c r="A452" s="89"/>
      <c r="B452" s="89"/>
      <c r="C452" s="89"/>
      <c r="D452" s="150"/>
      <c r="E452" s="152"/>
      <c r="F452" s="151"/>
      <c r="G452" s="151"/>
      <c r="H452" s="151"/>
      <c r="I452" s="151"/>
      <c r="J452" s="152"/>
      <c r="K452" s="152"/>
      <c r="L452" s="152"/>
      <c r="M452" s="152"/>
      <c r="N452" s="150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</row>
    <row r="453" customFormat="false" ht="11.25" hidden="false" customHeight="true" outlineLevel="0" collapsed="false">
      <c r="A453" s="89"/>
      <c r="B453" s="89"/>
      <c r="C453" s="89"/>
      <c r="D453" s="150"/>
      <c r="E453" s="152"/>
      <c r="F453" s="151"/>
      <c r="G453" s="151"/>
      <c r="H453" s="151"/>
      <c r="I453" s="151"/>
      <c r="J453" s="152"/>
      <c r="K453" s="152"/>
      <c r="L453" s="152"/>
      <c r="M453" s="152"/>
      <c r="N453" s="150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</row>
    <row r="454" customFormat="false" ht="11.25" hidden="false" customHeight="true" outlineLevel="0" collapsed="false">
      <c r="A454" s="89"/>
      <c r="B454" s="89"/>
      <c r="C454" s="89"/>
      <c r="D454" s="150"/>
      <c r="E454" s="152"/>
      <c r="F454" s="151"/>
      <c r="G454" s="151"/>
      <c r="H454" s="151"/>
      <c r="I454" s="151"/>
      <c r="J454" s="152"/>
      <c r="K454" s="152"/>
      <c r="L454" s="152"/>
      <c r="M454" s="152"/>
      <c r="N454" s="150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</row>
    <row r="455" customFormat="false" ht="11.25" hidden="false" customHeight="true" outlineLevel="0" collapsed="false">
      <c r="A455" s="89"/>
      <c r="B455" s="89"/>
      <c r="C455" s="89"/>
      <c r="D455" s="150"/>
      <c r="E455" s="152"/>
      <c r="F455" s="151"/>
      <c r="G455" s="151"/>
      <c r="H455" s="151"/>
      <c r="I455" s="151"/>
      <c r="J455" s="152"/>
      <c r="K455" s="152"/>
      <c r="L455" s="152"/>
      <c r="M455" s="152"/>
      <c r="N455" s="150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</row>
    <row r="456" customFormat="false" ht="11.25" hidden="false" customHeight="true" outlineLevel="0" collapsed="false">
      <c r="A456" s="89"/>
      <c r="B456" s="89"/>
      <c r="C456" s="89"/>
      <c r="D456" s="150"/>
      <c r="E456" s="152"/>
      <c r="F456" s="151"/>
      <c r="G456" s="151"/>
      <c r="H456" s="151"/>
      <c r="I456" s="151"/>
      <c r="J456" s="152"/>
      <c r="K456" s="152"/>
      <c r="L456" s="152"/>
      <c r="M456" s="152"/>
      <c r="N456" s="150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</row>
    <row r="457" customFormat="false" ht="11.25" hidden="false" customHeight="true" outlineLevel="0" collapsed="false">
      <c r="A457" s="89"/>
      <c r="B457" s="89"/>
      <c r="C457" s="89"/>
      <c r="D457" s="150"/>
      <c r="E457" s="152"/>
      <c r="F457" s="151"/>
      <c r="G457" s="151"/>
      <c r="H457" s="151"/>
      <c r="I457" s="151"/>
      <c r="J457" s="152"/>
      <c r="K457" s="152"/>
      <c r="L457" s="152"/>
      <c r="M457" s="152"/>
      <c r="N457" s="150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</row>
    <row r="458" customFormat="false" ht="11.25" hidden="false" customHeight="true" outlineLevel="0" collapsed="false">
      <c r="A458" s="89"/>
      <c r="B458" s="89"/>
      <c r="C458" s="89"/>
      <c r="D458" s="150"/>
      <c r="E458" s="152"/>
      <c r="F458" s="151"/>
      <c r="G458" s="151"/>
      <c r="H458" s="151"/>
      <c r="I458" s="151"/>
      <c r="J458" s="152"/>
      <c r="K458" s="152"/>
      <c r="L458" s="152"/>
      <c r="M458" s="152"/>
      <c r="N458" s="150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</row>
    <row r="459" customFormat="false" ht="11.25" hidden="false" customHeight="true" outlineLevel="0" collapsed="false">
      <c r="A459" s="89"/>
      <c r="B459" s="89"/>
      <c r="C459" s="89"/>
      <c r="D459" s="150"/>
      <c r="E459" s="152"/>
      <c r="F459" s="151"/>
      <c r="G459" s="151"/>
      <c r="H459" s="151"/>
      <c r="I459" s="151"/>
      <c r="J459" s="152"/>
      <c r="K459" s="152"/>
      <c r="L459" s="152"/>
      <c r="M459" s="152"/>
      <c r="N459" s="150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</row>
    <row r="460" customFormat="false" ht="11.25" hidden="false" customHeight="true" outlineLevel="0" collapsed="false">
      <c r="A460" s="89"/>
      <c r="B460" s="89"/>
      <c r="C460" s="89"/>
      <c r="D460" s="150"/>
      <c r="E460" s="152"/>
      <c r="F460" s="151"/>
      <c r="G460" s="151"/>
      <c r="H460" s="151"/>
      <c r="I460" s="151"/>
      <c r="J460" s="152"/>
      <c r="K460" s="152"/>
      <c r="L460" s="152"/>
      <c r="M460" s="152"/>
      <c r="N460" s="150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</row>
    <row r="461" customFormat="false" ht="11.25" hidden="false" customHeight="true" outlineLevel="0" collapsed="false">
      <c r="A461" s="89"/>
      <c r="B461" s="89"/>
      <c r="C461" s="89"/>
      <c r="D461" s="150"/>
      <c r="E461" s="152"/>
      <c r="F461" s="151"/>
      <c r="G461" s="151"/>
      <c r="H461" s="151"/>
      <c r="I461" s="151"/>
      <c r="J461" s="152"/>
      <c r="K461" s="152"/>
      <c r="L461" s="152"/>
      <c r="M461" s="152"/>
      <c r="N461" s="150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</row>
    <row r="462" customFormat="false" ht="11.25" hidden="false" customHeight="true" outlineLevel="0" collapsed="false">
      <c r="A462" s="89"/>
      <c r="B462" s="89"/>
      <c r="C462" s="89"/>
      <c r="D462" s="150"/>
      <c r="E462" s="152"/>
      <c r="F462" s="151"/>
      <c r="G462" s="151"/>
      <c r="H462" s="151"/>
      <c r="I462" s="151"/>
      <c r="J462" s="152"/>
      <c r="K462" s="152"/>
      <c r="L462" s="152"/>
      <c r="M462" s="152"/>
      <c r="N462" s="150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</row>
    <row r="463" customFormat="false" ht="11.25" hidden="false" customHeight="true" outlineLevel="0" collapsed="false">
      <c r="A463" s="89"/>
      <c r="B463" s="89"/>
      <c r="C463" s="89"/>
      <c r="D463" s="150"/>
      <c r="E463" s="152"/>
      <c r="F463" s="151"/>
      <c r="G463" s="151"/>
      <c r="H463" s="151"/>
      <c r="I463" s="151"/>
      <c r="J463" s="152"/>
      <c r="K463" s="152"/>
      <c r="L463" s="152"/>
      <c r="M463" s="152"/>
      <c r="N463" s="150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</row>
    <row r="464" customFormat="false" ht="11.25" hidden="false" customHeight="true" outlineLevel="0" collapsed="false">
      <c r="A464" s="89"/>
      <c r="B464" s="89"/>
      <c r="C464" s="89"/>
      <c r="D464" s="150"/>
      <c r="E464" s="152"/>
      <c r="F464" s="151"/>
      <c r="G464" s="151"/>
      <c r="H464" s="151"/>
      <c r="I464" s="151"/>
      <c r="J464" s="152"/>
      <c r="K464" s="152"/>
      <c r="L464" s="152"/>
      <c r="M464" s="152"/>
      <c r="N464" s="150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</row>
    <row r="465" customFormat="false" ht="11.25" hidden="false" customHeight="true" outlineLevel="0" collapsed="false">
      <c r="A465" s="89"/>
      <c r="B465" s="89"/>
      <c r="C465" s="89"/>
      <c r="D465" s="150"/>
      <c r="E465" s="152"/>
      <c r="F465" s="151"/>
      <c r="G465" s="151"/>
      <c r="H465" s="151"/>
      <c r="I465" s="151"/>
      <c r="J465" s="152"/>
      <c r="K465" s="152"/>
      <c r="L465" s="152"/>
      <c r="M465" s="152"/>
      <c r="N465" s="150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</row>
    <row r="466" customFormat="false" ht="11.25" hidden="false" customHeight="true" outlineLevel="0" collapsed="false">
      <c r="A466" s="89"/>
      <c r="B466" s="89"/>
      <c r="C466" s="89"/>
      <c r="D466" s="150"/>
      <c r="E466" s="152"/>
      <c r="F466" s="151"/>
      <c r="G466" s="151"/>
      <c r="H466" s="151"/>
      <c r="I466" s="151"/>
      <c r="J466" s="152"/>
      <c r="K466" s="152"/>
      <c r="L466" s="152"/>
      <c r="M466" s="152"/>
      <c r="N466" s="150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</row>
    <row r="467" customFormat="false" ht="11.25" hidden="false" customHeight="true" outlineLevel="0" collapsed="false">
      <c r="A467" s="89"/>
      <c r="B467" s="89"/>
      <c r="C467" s="89"/>
      <c r="D467" s="150"/>
      <c r="E467" s="152"/>
      <c r="F467" s="151"/>
      <c r="G467" s="151"/>
      <c r="H467" s="151"/>
      <c r="I467" s="151"/>
      <c r="J467" s="152"/>
      <c r="K467" s="152"/>
      <c r="L467" s="152"/>
      <c r="M467" s="152"/>
      <c r="N467" s="150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</row>
    <row r="468" customFormat="false" ht="11.25" hidden="false" customHeight="true" outlineLevel="0" collapsed="false">
      <c r="A468" s="89"/>
      <c r="B468" s="89"/>
      <c r="C468" s="89"/>
      <c r="D468" s="150"/>
      <c r="E468" s="152"/>
      <c r="F468" s="151"/>
      <c r="G468" s="151"/>
      <c r="H468" s="151"/>
      <c r="I468" s="151"/>
      <c r="J468" s="152"/>
      <c r="K468" s="152"/>
      <c r="L468" s="152"/>
      <c r="M468" s="152"/>
      <c r="N468" s="150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</row>
    <row r="469" customFormat="false" ht="11.25" hidden="false" customHeight="true" outlineLevel="0" collapsed="false">
      <c r="A469" s="89"/>
      <c r="B469" s="89"/>
      <c r="C469" s="89"/>
      <c r="D469" s="150"/>
      <c r="E469" s="152"/>
      <c r="F469" s="151"/>
      <c r="G469" s="151"/>
      <c r="H469" s="151"/>
      <c r="I469" s="151"/>
      <c r="J469" s="152"/>
      <c r="K469" s="152"/>
      <c r="L469" s="152"/>
      <c r="M469" s="152"/>
      <c r="N469" s="150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</row>
    <row r="470" customFormat="false" ht="11.25" hidden="false" customHeight="true" outlineLevel="0" collapsed="false">
      <c r="A470" s="89"/>
      <c r="B470" s="89"/>
      <c r="C470" s="89"/>
      <c r="D470" s="150"/>
      <c r="E470" s="152"/>
      <c r="F470" s="151"/>
      <c r="G470" s="151"/>
      <c r="H470" s="151"/>
      <c r="I470" s="151"/>
      <c r="J470" s="152"/>
      <c r="K470" s="152"/>
      <c r="L470" s="152"/>
      <c r="M470" s="152"/>
      <c r="N470" s="150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</row>
    <row r="471" customFormat="false" ht="11.25" hidden="false" customHeight="true" outlineLevel="0" collapsed="false">
      <c r="A471" s="89"/>
      <c r="B471" s="89"/>
      <c r="C471" s="89"/>
      <c r="D471" s="150"/>
      <c r="E471" s="152"/>
      <c r="F471" s="151"/>
      <c r="G471" s="151"/>
      <c r="H471" s="151"/>
      <c r="I471" s="151"/>
      <c r="J471" s="152"/>
      <c r="K471" s="152"/>
      <c r="L471" s="152"/>
      <c r="M471" s="152"/>
      <c r="N471" s="150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</row>
    <row r="472" customFormat="false" ht="11.25" hidden="false" customHeight="true" outlineLevel="0" collapsed="false">
      <c r="A472" s="89"/>
      <c r="B472" s="89"/>
      <c r="C472" s="89"/>
      <c r="D472" s="150"/>
      <c r="E472" s="152"/>
      <c r="F472" s="151"/>
      <c r="G472" s="151"/>
      <c r="H472" s="151"/>
      <c r="I472" s="151"/>
      <c r="J472" s="152"/>
      <c r="K472" s="152"/>
      <c r="L472" s="152"/>
      <c r="M472" s="152"/>
      <c r="N472" s="150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</row>
    <row r="473" customFormat="false" ht="11.25" hidden="false" customHeight="true" outlineLevel="0" collapsed="false">
      <c r="A473" s="89"/>
      <c r="B473" s="89"/>
      <c r="C473" s="89"/>
      <c r="D473" s="150"/>
      <c r="E473" s="152"/>
      <c r="F473" s="151"/>
      <c r="G473" s="151"/>
      <c r="H473" s="151"/>
      <c r="I473" s="151"/>
      <c r="J473" s="152"/>
      <c r="K473" s="152"/>
      <c r="L473" s="152"/>
      <c r="M473" s="152"/>
      <c r="N473" s="150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</row>
    <row r="474" customFormat="false" ht="11.25" hidden="false" customHeight="true" outlineLevel="0" collapsed="false">
      <c r="A474" s="89"/>
      <c r="B474" s="89"/>
      <c r="C474" s="89"/>
      <c r="D474" s="150"/>
      <c r="E474" s="152"/>
      <c r="F474" s="151"/>
      <c r="G474" s="151"/>
      <c r="H474" s="151"/>
      <c r="I474" s="151"/>
      <c r="J474" s="152"/>
      <c r="K474" s="152"/>
      <c r="L474" s="152"/>
      <c r="M474" s="152"/>
      <c r="N474" s="150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</row>
    <row r="475" customFormat="false" ht="11.25" hidden="false" customHeight="true" outlineLevel="0" collapsed="false">
      <c r="A475" s="89"/>
      <c r="B475" s="89"/>
      <c r="C475" s="89"/>
      <c r="D475" s="150"/>
      <c r="E475" s="152"/>
      <c r="F475" s="151"/>
      <c r="G475" s="151"/>
      <c r="H475" s="151"/>
      <c r="I475" s="151"/>
      <c r="J475" s="152"/>
      <c r="K475" s="152"/>
      <c r="L475" s="152"/>
      <c r="M475" s="152"/>
      <c r="N475" s="150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</row>
    <row r="476" customFormat="false" ht="11.25" hidden="false" customHeight="true" outlineLevel="0" collapsed="false">
      <c r="A476" s="89"/>
      <c r="B476" s="89"/>
      <c r="C476" s="89"/>
      <c r="D476" s="150"/>
      <c r="E476" s="152"/>
      <c r="F476" s="151"/>
      <c r="G476" s="151"/>
      <c r="H476" s="151"/>
      <c r="I476" s="151"/>
      <c r="J476" s="152"/>
      <c r="K476" s="152"/>
      <c r="L476" s="152"/>
      <c r="M476" s="152"/>
      <c r="N476" s="150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</row>
    <row r="477" customFormat="false" ht="11.25" hidden="false" customHeight="true" outlineLevel="0" collapsed="false">
      <c r="A477" s="89"/>
      <c r="B477" s="89"/>
      <c r="C477" s="89"/>
      <c r="D477" s="150"/>
      <c r="E477" s="152"/>
      <c r="F477" s="151"/>
      <c r="G477" s="151"/>
      <c r="H477" s="151"/>
      <c r="I477" s="151"/>
      <c r="J477" s="152"/>
      <c r="K477" s="152"/>
      <c r="L477" s="152"/>
      <c r="M477" s="152"/>
      <c r="N477" s="150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</row>
    <row r="478" customFormat="false" ht="11.25" hidden="false" customHeight="true" outlineLevel="0" collapsed="false">
      <c r="A478" s="89"/>
      <c r="B478" s="89"/>
      <c r="C478" s="89"/>
      <c r="D478" s="150"/>
      <c r="E478" s="152"/>
      <c r="F478" s="151"/>
      <c r="G478" s="151"/>
      <c r="H478" s="151"/>
      <c r="I478" s="151"/>
      <c r="J478" s="152"/>
      <c r="K478" s="152"/>
      <c r="L478" s="152"/>
      <c r="M478" s="152"/>
      <c r="N478" s="150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</row>
    <row r="479" customFormat="false" ht="11.25" hidden="false" customHeight="true" outlineLevel="0" collapsed="false">
      <c r="A479" s="89"/>
      <c r="B479" s="89"/>
      <c r="C479" s="89"/>
      <c r="D479" s="150"/>
      <c r="E479" s="152"/>
      <c r="F479" s="151"/>
      <c r="G479" s="151"/>
      <c r="H479" s="151"/>
      <c r="I479" s="151"/>
      <c r="J479" s="152"/>
      <c r="K479" s="152"/>
      <c r="L479" s="152"/>
      <c r="M479" s="152"/>
      <c r="N479" s="150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</row>
    <row r="480" customFormat="false" ht="11.25" hidden="false" customHeight="true" outlineLevel="0" collapsed="false">
      <c r="A480" s="89"/>
      <c r="B480" s="89"/>
      <c r="C480" s="89"/>
      <c r="D480" s="150"/>
      <c r="E480" s="152"/>
      <c r="F480" s="151"/>
      <c r="G480" s="151"/>
      <c r="H480" s="151"/>
      <c r="I480" s="151"/>
      <c r="J480" s="152"/>
      <c r="K480" s="152"/>
      <c r="L480" s="152"/>
      <c r="M480" s="152"/>
      <c r="N480" s="150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</row>
    <row r="481" customFormat="false" ht="11.25" hidden="false" customHeight="true" outlineLevel="0" collapsed="false">
      <c r="A481" s="89"/>
      <c r="B481" s="89"/>
      <c r="C481" s="89"/>
      <c r="D481" s="150"/>
      <c r="E481" s="152"/>
      <c r="F481" s="151"/>
      <c r="G481" s="151"/>
      <c r="H481" s="151"/>
      <c r="I481" s="151"/>
      <c r="J481" s="152"/>
      <c r="K481" s="152"/>
      <c r="L481" s="152"/>
      <c r="M481" s="152"/>
      <c r="N481" s="150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</row>
    <row r="482" customFormat="false" ht="11.25" hidden="false" customHeight="true" outlineLevel="0" collapsed="false">
      <c r="A482" s="89"/>
      <c r="B482" s="89"/>
      <c r="C482" s="89"/>
      <c r="D482" s="150"/>
      <c r="E482" s="152"/>
      <c r="F482" s="151"/>
      <c r="G482" s="151"/>
      <c r="H482" s="151"/>
      <c r="I482" s="151"/>
      <c r="J482" s="152"/>
      <c r="K482" s="152"/>
      <c r="L482" s="152"/>
      <c r="M482" s="152"/>
      <c r="N482" s="150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</row>
    <row r="483" customFormat="false" ht="11.25" hidden="false" customHeight="true" outlineLevel="0" collapsed="false">
      <c r="A483" s="89"/>
      <c r="B483" s="89"/>
      <c r="C483" s="89"/>
      <c r="D483" s="150"/>
      <c r="E483" s="152"/>
      <c r="F483" s="151"/>
      <c r="G483" s="151"/>
      <c r="H483" s="151"/>
      <c r="I483" s="151"/>
      <c r="J483" s="152"/>
      <c r="K483" s="152"/>
      <c r="L483" s="152"/>
      <c r="M483" s="152"/>
      <c r="N483" s="150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</row>
    <row r="484" customFormat="false" ht="11.25" hidden="false" customHeight="true" outlineLevel="0" collapsed="false">
      <c r="A484" s="89"/>
      <c r="B484" s="89"/>
      <c r="C484" s="89"/>
      <c r="D484" s="150"/>
      <c r="E484" s="152"/>
      <c r="F484" s="151"/>
      <c r="G484" s="151"/>
      <c r="H484" s="151"/>
      <c r="I484" s="151"/>
      <c r="J484" s="152"/>
      <c r="K484" s="152"/>
      <c r="L484" s="152"/>
      <c r="M484" s="152"/>
      <c r="N484" s="150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</row>
    <row r="485" customFormat="false" ht="11.25" hidden="false" customHeight="true" outlineLevel="0" collapsed="false">
      <c r="A485" s="89"/>
      <c r="B485" s="89"/>
      <c r="C485" s="89"/>
      <c r="D485" s="150"/>
      <c r="E485" s="152"/>
      <c r="F485" s="151"/>
      <c r="G485" s="151"/>
      <c r="H485" s="151"/>
      <c r="I485" s="151"/>
      <c r="J485" s="152"/>
      <c r="K485" s="152"/>
      <c r="L485" s="152"/>
      <c r="M485" s="152"/>
      <c r="N485" s="150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</row>
    <row r="486" customFormat="false" ht="11.25" hidden="false" customHeight="true" outlineLevel="0" collapsed="false">
      <c r="A486" s="89"/>
      <c r="B486" s="89"/>
      <c r="C486" s="89"/>
      <c r="D486" s="150"/>
      <c r="E486" s="152"/>
      <c r="F486" s="151"/>
      <c r="G486" s="151"/>
      <c r="H486" s="151"/>
      <c r="I486" s="151"/>
      <c r="J486" s="152"/>
      <c r="K486" s="152"/>
      <c r="L486" s="152"/>
      <c r="M486" s="152"/>
      <c r="N486" s="150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</row>
    <row r="487" customFormat="false" ht="11.25" hidden="false" customHeight="true" outlineLevel="0" collapsed="false">
      <c r="A487" s="89"/>
      <c r="B487" s="89"/>
      <c r="C487" s="89"/>
      <c r="D487" s="150"/>
      <c r="E487" s="152"/>
      <c r="F487" s="151"/>
      <c r="G487" s="151"/>
      <c r="H487" s="151"/>
      <c r="I487" s="151"/>
      <c r="J487" s="152"/>
      <c r="K487" s="152"/>
      <c r="L487" s="152"/>
      <c r="M487" s="152"/>
      <c r="N487" s="150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</row>
    <row r="488" customFormat="false" ht="11.25" hidden="false" customHeight="true" outlineLevel="0" collapsed="false">
      <c r="A488" s="89"/>
      <c r="B488" s="89"/>
      <c r="C488" s="89"/>
      <c r="D488" s="150"/>
      <c r="E488" s="152"/>
      <c r="F488" s="151"/>
      <c r="G488" s="151"/>
      <c r="H488" s="151"/>
      <c r="I488" s="151"/>
      <c r="J488" s="152"/>
      <c r="K488" s="152"/>
      <c r="L488" s="152"/>
      <c r="M488" s="152"/>
      <c r="N488" s="150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</row>
    <row r="489" customFormat="false" ht="11.25" hidden="false" customHeight="true" outlineLevel="0" collapsed="false">
      <c r="A489" s="89"/>
      <c r="B489" s="89"/>
      <c r="C489" s="89"/>
      <c r="D489" s="150"/>
      <c r="E489" s="152"/>
      <c r="F489" s="151"/>
      <c r="G489" s="151"/>
      <c r="H489" s="151"/>
      <c r="I489" s="151"/>
      <c r="J489" s="152"/>
      <c r="K489" s="152"/>
      <c r="L489" s="152"/>
      <c r="M489" s="152"/>
      <c r="N489" s="150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</row>
    <row r="490" customFormat="false" ht="11.25" hidden="false" customHeight="true" outlineLevel="0" collapsed="false">
      <c r="A490" s="89"/>
      <c r="B490" s="89"/>
      <c r="C490" s="89"/>
      <c r="D490" s="150"/>
      <c r="E490" s="152"/>
      <c r="F490" s="151"/>
      <c r="G490" s="151"/>
      <c r="H490" s="151"/>
      <c r="I490" s="151"/>
      <c r="J490" s="152"/>
      <c r="K490" s="152"/>
      <c r="L490" s="152"/>
      <c r="M490" s="152"/>
      <c r="N490" s="150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</row>
    <row r="491" customFormat="false" ht="11.25" hidden="false" customHeight="true" outlineLevel="0" collapsed="false">
      <c r="A491" s="89"/>
      <c r="B491" s="89"/>
      <c r="C491" s="89"/>
      <c r="D491" s="150"/>
      <c r="E491" s="152"/>
      <c r="F491" s="151"/>
      <c r="G491" s="151"/>
      <c r="H491" s="151"/>
      <c r="I491" s="151"/>
      <c r="J491" s="152"/>
      <c r="K491" s="152"/>
      <c r="L491" s="152"/>
      <c r="M491" s="152"/>
      <c r="N491" s="150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</row>
    <row r="492" customFormat="false" ht="11.25" hidden="false" customHeight="true" outlineLevel="0" collapsed="false">
      <c r="A492" s="89"/>
      <c r="B492" s="89"/>
      <c r="C492" s="89"/>
      <c r="D492" s="150"/>
      <c r="E492" s="152"/>
      <c r="F492" s="151"/>
      <c r="G492" s="151"/>
      <c r="H492" s="151"/>
      <c r="I492" s="151"/>
      <c r="J492" s="152"/>
      <c r="K492" s="152"/>
      <c r="L492" s="152"/>
      <c r="M492" s="152"/>
      <c r="N492" s="150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</row>
    <row r="493" customFormat="false" ht="11.25" hidden="false" customHeight="true" outlineLevel="0" collapsed="false">
      <c r="A493" s="89"/>
      <c r="B493" s="89"/>
      <c r="C493" s="89"/>
      <c r="D493" s="150"/>
      <c r="E493" s="152"/>
      <c r="F493" s="151"/>
      <c r="G493" s="151"/>
      <c r="H493" s="151"/>
      <c r="I493" s="151"/>
      <c r="J493" s="152"/>
      <c r="K493" s="152"/>
      <c r="L493" s="152"/>
      <c r="M493" s="152"/>
      <c r="N493" s="150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</row>
    <row r="494" customFormat="false" ht="11.25" hidden="false" customHeight="true" outlineLevel="0" collapsed="false">
      <c r="A494" s="89"/>
      <c r="B494" s="89"/>
      <c r="C494" s="89"/>
      <c r="D494" s="150"/>
      <c r="E494" s="152"/>
      <c r="F494" s="151"/>
      <c r="G494" s="151"/>
      <c r="H494" s="151"/>
      <c r="I494" s="151"/>
      <c r="J494" s="152"/>
      <c r="K494" s="152"/>
      <c r="L494" s="152"/>
      <c r="M494" s="152"/>
      <c r="N494" s="150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</row>
    <row r="495" customFormat="false" ht="11.25" hidden="false" customHeight="true" outlineLevel="0" collapsed="false">
      <c r="A495" s="89"/>
      <c r="B495" s="89"/>
      <c r="C495" s="89"/>
      <c r="D495" s="150"/>
      <c r="E495" s="152"/>
      <c r="F495" s="151"/>
      <c r="G495" s="151"/>
      <c r="H495" s="151"/>
      <c r="I495" s="151"/>
      <c r="J495" s="152"/>
      <c r="K495" s="152"/>
      <c r="L495" s="152"/>
      <c r="M495" s="152"/>
      <c r="N495" s="150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</row>
    <row r="496" customFormat="false" ht="11.25" hidden="false" customHeight="true" outlineLevel="0" collapsed="false">
      <c r="A496" s="89"/>
      <c r="B496" s="89"/>
      <c r="C496" s="89"/>
      <c r="D496" s="150"/>
      <c r="E496" s="152"/>
      <c r="F496" s="151"/>
      <c r="G496" s="151"/>
      <c r="H496" s="151"/>
      <c r="I496" s="151"/>
      <c r="J496" s="152"/>
      <c r="K496" s="152"/>
      <c r="L496" s="152"/>
      <c r="M496" s="152"/>
      <c r="N496" s="150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</row>
    <row r="497" customFormat="false" ht="11.25" hidden="false" customHeight="true" outlineLevel="0" collapsed="false">
      <c r="A497" s="89"/>
      <c r="B497" s="89"/>
      <c r="C497" s="89"/>
      <c r="D497" s="150"/>
      <c r="E497" s="152"/>
      <c r="F497" s="151"/>
      <c r="G497" s="151"/>
      <c r="H497" s="151"/>
      <c r="I497" s="151"/>
      <c r="J497" s="152"/>
      <c r="K497" s="152"/>
      <c r="L497" s="152"/>
      <c r="M497" s="152"/>
      <c r="N497" s="150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</row>
    <row r="498" customFormat="false" ht="11.25" hidden="false" customHeight="true" outlineLevel="0" collapsed="false">
      <c r="A498" s="89"/>
      <c r="B498" s="89"/>
      <c r="C498" s="89"/>
      <c r="D498" s="150"/>
      <c r="E498" s="152"/>
      <c r="F498" s="151"/>
      <c r="G498" s="151"/>
      <c r="H498" s="151"/>
      <c r="I498" s="151"/>
      <c r="J498" s="152"/>
      <c r="K498" s="152"/>
      <c r="L498" s="152"/>
      <c r="M498" s="152"/>
      <c r="N498" s="150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</row>
    <row r="499" customFormat="false" ht="11.25" hidden="false" customHeight="true" outlineLevel="0" collapsed="false">
      <c r="A499" s="89"/>
      <c r="B499" s="89"/>
      <c r="C499" s="89"/>
      <c r="D499" s="150"/>
      <c r="E499" s="152"/>
      <c r="F499" s="151"/>
      <c r="G499" s="151"/>
      <c r="H499" s="151"/>
      <c r="I499" s="151"/>
      <c r="J499" s="152"/>
      <c r="K499" s="152"/>
      <c r="L499" s="152"/>
      <c r="M499" s="152"/>
      <c r="N499" s="150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</row>
    <row r="500" customFormat="false" ht="11.25" hidden="false" customHeight="true" outlineLevel="0" collapsed="false">
      <c r="A500" s="89"/>
      <c r="B500" s="89"/>
      <c r="C500" s="89"/>
      <c r="D500" s="150"/>
      <c r="E500" s="152"/>
      <c r="F500" s="151"/>
      <c r="G500" s="151"/>
      <c r="H500" s="151"/>
      <c r="I500" s="151"/>
      <c r="J500" s="152"/>
      <c r="K500" s="152"/>
      <c r="L500" s="152"/>
      <c r="M500" s="152"/>
      <c r="N500" s="150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</row>
    <row r="501" customFormat="false" ht="11.25" hidden="false" customHeight="true" outlineLevel="0" collapsed="false">
      <c r="A501" s="89"/>
      <c r="B501" s="89"/>
      <c r="C501" s="89"/>
      <c r="D501" s="150"/>
      <c r="E501" s="152"/>
      <c r="F501" s="151"/>
      <c r="G501" s="151"/>
      <c r="H501" s="151"/>
      <c r="I501" s="151"/>
      <c r="J501" s="152"/>
      <c r="K501" s="152"/>
      <c r="L501" s="152"/>
      <c r="M501" s="152"/>
      <c r="N501" s="150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</row>
    <row r="502" customFormat="false" ht="11.25" hidden="false" customHeight="true" outlineLevel="0" collapsed="false">
      <c r="A502" s="89"/>
      <c r="B502" s="89"/>
      <c r="C502" s="89"/>
      <c r="D502" s="150"/>
      <c r="E502" s="152"/>
      <c r="F502" s="151"/>
      <c r="G502" s="151"/>
      <c r="H502" s="151"/>
      <c r="I502" s="151"/>
      <c r="J502" s="152"/>
      <c r="K502" s="152"/>
      <c r="L502" s="152"/>
      <c r="M502" s="152"/>
      <c r="N502" s="150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</row>
    <row r="503" customFormat="false" ht="11.25" hidden="false" customHeight="true" outlineLevel="0" collapsed="false">
      <c r="A503" s="89"/>
      <c r="B503" s="89"/>
      <c r="C503" s="89"/>
      <c r="D503" s="150"/>
      <c r="E503" s="152"/>
      <c r="F503" s="151"/>
      <c r="G503" s="151"/>
      <c r="H503" s="151"/>
      <c r="I503" s="151"/>
      <c r="J503" s="152"/>
      <c r="K503" s="152"/>
      <c r="L503" s="152"/>
      <c r="M503" s="152"/>
      <c r="N503" s="150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</row>
    <row r="504" customFormat="false" ht="11.25" hidden="false" customHeight="true" outlineLevel="0" collapsed="false">
      <c r="A504" s="89"/>
      <c r="B504" s="89"/>
      <c r="C504" s="89"/>
      <c r="D504" s="150"/>
      <c r="E504" s="152"/>
      <c r="F504" s="151"/>
      <c r="G504" s="151"/>
      <c r="H504" s="151"/>
      <c r="I504" s="151"/>
      <c r="J504" s="152"/>
      <c r="K504" s="152"/>
      <c r="L504" s="152"/>
      <c r="M504" s="152"/>
      <c r="N504" s="150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</row>
    <row r="505" customFormat="false" ht="11.25" hidden="false" customHeight="true" outlineLevel="0" collapsed="false">
      <c r="A505" s="89"/>
      <c r="B505" s="89"/>
      <c r="C505" s="89"/>
      <c r="D505" s="150"/>
      <c r="E505" s="152"/>
      <c r="F505" s="151"/>
      <c r="G505" s="151"/>
      <c r="H505" s="151"/>
      <c r="I505" s="151"/>
      <c r="J505" s="152"/>
      <c r="K505" s="152"/>
      <c r="L505" s="152"/>
      <c r="M505" s="152"/>
      <c r="N505" s="150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</row>
    <row r="506" customFormat="false" ht="11.25" hidden="false" customHeight="true" outlineLevel="0" collapsed="false">
      <c r="A506" s="89"/>
      <c r="B506" s="89"/>
      <c r="C506" s="89"/>
      <c r="D506" s="150"/>
      <c r="E506" s="152"/>
      <c r="F506" s="151"/>
      <c r="G506" s="151"/>
      <c r="H506" s="151"/>
      <c r="I506" s="151"/>
      <c r="J506" s="152"/>
      <c r="K506" s="152"/>
      <c r="L506" s="152"/>
      <c r="M506" s="152"/>
      <c r="N506" s="150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</row>
    <row r="507" customFormat="false" ht="11.25" hidden="false" customHeight="true" outlineLevel="0" collapsed="false">
      <c r="A507" s="89"/>
      <c r="B507" s="89"/>
      <c r="C507" s="89"/>
      <c r="D507" s="150"/>
      <c r="E507" s="152"/>
      <c r="F507" s="151"/>
      <c r="G507" s="151"/>
      <c r="H507" s="151"/>
      <c r="I507" s="151"/>
      <c r="J507" s="152"/>
      <c r="K507" s="152"/>
      <c r="L507" s="152"/>
      <c r="M507" s="152"/>
      <c r="N507" s="150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</row>
    <row r="508" customFormat="false" ht="11.25" hidden="false" customHeight="true" outlineLevel="0" collapsed="false">
      <c r="A508" s="89"/>
      <c r="B508" s="89"/>
      <c r="C508" s="89"/>
      <c r="D508" s="150"/>
      <c r="E508" s="152"/>
      <c r="F508" s="151"/>
      <c r="G508" s="151"/>
      <c r="H508" s="151"/>
      <c r="I508" s="151"/>
      <c r="J508" s="152"/>
      <c r="K508" s="152"/>
      <c r="L508" s="152"/>
      <c r="M508" s="152"/>
      <c r="N508" s="150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</row>
    <row r="509" customFormat="false" ht="11.25" hidden="false" customHeight="true" outlineLevel="0" collapsed="false">
      <c r="A509" s="89"/>
      <c r="B509" s="89"/>
      <c r="C509" s="89"/>
      <c r="D509" s="150"/>
      <c r="E509" s="152"/>
      <c r="F509" s="151"/>
      <c r="G509" s="151"/>
      <c r="H509" s="151"/>
      <c r="I509" s="151"/>
      <c r="J509" s="152"/>
      <c r="K509" s="152"/>
      <c r="L509" s="152"/>
      <c r="M509" s="152"/>
      <c r="N509" s="150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</row>
    <row r="510" customFormat="false" ht="11.25" hidden="false" customHeight="true" outlineLevel="0" collapsed="false">
      <c r="A510" s="89"/>
      <c r="B510" s="89"/>
      <c r="C510" s="89"/>
      <c r="D510" s="150"/>
      <c r="E510" s="152"/>
      <c r="F510" s="151"/>
      <c r="G510" s="151"/>
      <c r="H510" s="151"/>
      <c r="I510" s="151"/>
      <c r="J510" s="152"/>
      <c r="K510" s="152"/>
      <c r="L510" s="152"/>
      <c r="M510" s="152"/>
      <c r="N510" s="150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</row>
    <row r="511" customFormat="false" ht="11.25" hidden="false" customHeight="true" outlineLevel="0" collapsed="false">
      <c r="A511" s="89"/>
      <c r="B511" s="89"/>
      <c r="C511" s="89"/>
      <c r="D511" s="150"/>
      <c r="E511" s="152"/>
      <c r="F511" s="151"/>
      <c r="G511" s="151"/>
      <c r="H511" s="151"/>
      <c r="I511" s="151"/>
      <c r="J511" s="152"/>
      <c r="K511" s="152"/>
      <c r="L511" s="152"/>
      <c r="M511" s="152"/>
      <c r="N511" s="150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</row>
    <row r="512" customFormat="false" ht="11.25" hidden="false" customHeight="true" outlineLevel="0" collapsed="false">
      <c r="A512" s="89"/>
      <c r="B512" s="89"/>
      <c r="C512" s="89"/>
      <c r="D512" s="150"/>
      <c r="E512" s="152"/>
      <c r="F512" s="151"/>
      <c r="G512" s="151"/>
      <c r="H512" s="151"/>
      <c r="I512" s="151"/>
      <c r="J512" s="152"/>
      <c r="K512" s="152"/>
      <c r="L512" s="152"/>
      <c r="M512" s="152"/>
      <c r="N512" s="150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</row>
    <row r="513" customFormat="false" ht="11.25" hidden="false" customHeight="true" outlineLevel="0" collapsed="false">
      <c r="A513" s="89"/>
      <c r="B513" s="89"/>
      <c r="C513" s="89"/>
      <c r="D513" s="150"/>
      <c r="E513" s="152"/>
      <c r="F513" s="151"/>
      <c r="G513" s="151"/>
      <c r="H513" s="151"/>
      <c r="I513" s="151"/>
      <c r="J513" s="152"/>
      <c r="K513" s="152"/>
      <c r="L513" s="152"/>
      <c r="M513" s="152"/>
      <c r="N513" s="150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</row>
    <row r="514" customFormat="false" ht="11.25" hidden="false" customHeight="true" outlineLevel="0" collapsed="false">
      <c r="A514" s="89"/>
      <c r="B514" s="89"/>
      <c r="C514" s="89"/>
      <c r="D514" s="150"/>
      <c r="E514" s="152"/>
      <c r="F514" s="151"/>
      <c r="G514" s="151"/>
      <c r="H514" s="151"/>
      <c r="I514" s="151"/>
      <c r="J514" s="152"/>
      <c r="K514" s="152"/>
      <c r="L514" s="152"/>
      <c r="M514" s="152"/>
      <c r="N514" s="150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</row>
    <row r="515" customFormat="false" ht="11.25" hidden="false" customHeight="true" outlineLevel="0" collapsed="false">
      <c r="A515" s="89"/>
      <c r="B515" s="89"/>
      <c r="C515" s="89"/>
      <c r="D515" s="150"/>
      <c r="E515" s="152"/>
      <c r="F515" s="151"/>
      <c r="G515" s="151"/>
      <c r="H515" s="151"/>
      <c r="I515" s="151"/>
      <c r="J515" s="152"/>
      <c r="K515" s="152"/>
      <c r="L515" s="152"/>
      <c r="M515" s="152"/>
      <c r="N515" s="150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</row>
    <row r="516" customFormat="false" ht="11.25" hidden="false" customHeight="true" outlineLevel="0" collapsed="false">
      <c r="A516" s="89"/>
      <c r="B516" s="89"/>
      <c r="C516" s="89"/>
      <c r="D516" s="150"/>
      <c r="E516" s="152"/>
      <c r="F516" s="151"/>
      <c r="G516" s="151"/>
      <c r="H516" s="151"/>
      <c r="I516" s="151"/>
      <c r="J516" s="152"/>
      <c r="K516" s="152"/>
      <c r="L516" s="152"/>
      <c r="M516" s="152"/>
      <c r="N516" s="150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</row>
    <row r="517" customFormat="false" ht="11.25" hidden="false" customHeight="true" outlineLevel="0" collapsed="false">
      <c r="A517" s="89"/>
      <c r="B517" s="89"/>
      <c r="C517" s="89"/>
      <c r="D517" s="150"/>
      <c r="E517" s="152"/>
      <c r="F517" s="151"/>
      <c r="G517" s="151"/>
      <c r="H517" s="151"/>
      <c r="I517" s="151"/>
      <c r="J517" s="152"/>
      <c r="K517" s="152"/>
      <c r="L517" s="152"/>
      <c r="M517" s="152"/>
      <c r="N517" s="150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</row>
    <row r="518" customFormat="false" ht="11.25" hidden="false" customHeight="true" outlineLevel="0" collapsed="false">
      <c r="A518" s="89"/>
      <c r="B518" s="89"/>
      <c r="C518" s="89"/>
      <c r="D518" s="150"/>
      <c r="E518" s="152"/>
      <c r="F518" s="151"/>
      <c r="G518" s="151"/>
      <c r="H518" s="151"/>
      <c r="I518" s="151"/>
      <c r="J518" s="152"/>
      <c r="K518" s="152"/>
      <c r="L518" s="152"/>
      <c r="M518" s="152"/>
      <c r="N518" s="150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</row>
    <row r="519" customFormat="false" ht="11.25" hidden="false" customHeight="true" outlineLevel="0" collapsed="false">
      <c r="A519" s="89"/>
      <c r="B519" s="89"/>
      <c r="C519" s="89"/>
      <c r="D519" s="150"/>
      <c r="E519" s="152"/>
      <c r="F519" s="151"/>
      <c r="G519" s="151"/>
      <c r="H519" s="151"/>
      <c r="I519" s="151"/>
      <c r="J519" s="152"/>
      <c r="K519" s="152"/>
      <c r="L519" s="152"/>
      <c r="M519" s="152"/>
      <c r="N519" s="150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</row>
    <row r="520" customFormat="false" ht="11.25" hidden="false" customHeight="true" outlineLevel="0" collapsed="false">
      <c r="A520" s="89"/>
      <c r="B520" s="89"/>
      <c r="C520" s="89"/>
      <c r="D520" s="150"/>
      <c r="E520" s="152"/>
      <c r="F520" s="151"/>
      <c r="G520" s="151"/>
      <c r="H520" s="151"/>
      <c r="I520" s="151"/>
      <c r="J520" s="152"/>
      <c r="K520" s="152"/>
      <c r="L520" s="152"/>
      <c r="M520" s="152"/>
      <c r="N520" s="150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</row>
    <row r="521" customFormat="false" ht="11.25" hidden="false" customHeight="true" outlineLevel="0" collapsed="false">
      <c r="A521" s="89"/>
      <c r="B521" s="89"/>
      <c r="C521" s="89"/>
      <c r="D521" s="150"/>
      <c r="E521" s="152"/>
      <c r="F521" s="151"/>
      <c r="G521" s="151"/>
      <c r="H521" s="151"/>
      <c r="I521" s="151"/>
      <c r="J521" s="152"/>
      <c r="K521" s="152"/>
      <c r="L521" s="152"/>
      <c r="M521" s="152"/>
      <c r="N521" s="150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</row>
    <row r="522" customFormat="false" ht="11.25" hidden="false" customHeight="true" outlineLevel="0" collapsed="false">
      <c r="A522" s="89"/>
      <c r="B522" s="89"/>
      <c r="C522" s="89"/>
      <c r="D522" s="150"/>
      <c r="E522" s="152"/>
      <c r="F522" s="151"/>
      <c r="G522" s="151"/>
      <c r="H522" s="151"/>
      <c r="I522" s="151"/>
      <c r="J522" s="152"/>
      <c r="K522" s="152"/>
      <c r="L522" s="152"/>
      <c r="M522" s="152"/>
      <c r="N522" s="150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</row>
    <row r="523" customFormat="false" ht="11.25" hidden="false" customHeight="true" outlineLevel="0" collapsed="false">
      <c r="A523" s="89"/>
      <c r="B523" s="89"/>
      <c r="C523" s="89"/>
      <c r="D523" s="150"/>
      <c r="E523" s="152"/>
      <c r="F523" s="151"/>
      <c r="G523" s="151"/>
      <c r="H523" s="151"/>
      <c r="I523" s="151"/>
      <c r="J523" s="152"/>
      <c r="K523" s="152"/>
      <c r="L523" s="152"/>
      <c r="M523" s="152"/>
      <c r="N523" s="150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</row>
    <row r="524" customFormat="false" ht="11.25" hidden="false" customHeight="true" outlineLevel="0" collapsed="false">
      <c r="A524" s="89"/>
      <c r="B524" s="89"/>
      <c r="C524" s="89"/>
      <c r="D524" s="150"/>
      <c r="E524" s="152"/>
      <c r="F524" s="151"/>
      <c r="G524" s="151"/>
      <c r="H524" s="151"/>
      <c r="I524" s="151"/>
      <c r="J524" s="152"/>
      <c r="K524" s="152"/>
      <c r="L524" s="152"/>
      <c r="M524" s="152"/>
      <c r="N524" s="150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</row>
    <row r="525" customFormat="false" ht="11.25" hidden="false" customHeight="true" outlineLevel="0" collapsed="false">
      <c r="A525" s="89"/>
      <c r="B525" s="89"/>
      <c r="C525" s="89"/>
      <c r="D525" s="150"/>
      <c r="E525" s="152"/>
      <c r="F525" s="151"/>
      <c r="G525" s="151"/>
      <c r="H525" s="151"/>
      <c r="I525" s="151"/>
      <c r="J525" s="152"/>
      <c r="K525" s="152"/>
      <c r="L525" s="152"/>
      <c r="M525" s="152"/>
      <c r="N525" s="150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</row>
    <row r="526" customFormat="false" ht="11.25" hidden="false" customHeight="true" outlineLevel="0" collapsed="false">
      <c r="A526" s="89"/>
      <c r="B526" s="89"/>
      <c r="C526" s="89"/>
      <c r="D526" s="150"/>
      <c r="E526" s="152"/>
      <c r="F526" s="151"/>
      <c r="G526" s="151"/>
      <c r="H526" s="151"/>
      <c r="I526" s="151"/>
      <c r="J526" s="152"/>
      <c r="K526" s="152"/>
      <c r="L526" s="152"/>
      <c r="M526" s="152"/>
      <c r="N526" s="150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</row>
    <row r="527" customFormat="false" ht="11.25" hidden="false" customHeight="true" outlineLevel="0" collapsed="false">
      <c r="A527" s="89"/>
      <c r="B527" s="89"/>
      <c r="C527" s="89"/>
      <c r="D527" s="150"/>
      <c r="E527" s="152"/>
      <c r="F527" s="151"/>
      <c r="G527" s="151"/>
      <c r="H527" s="151"/>
      <c r="I527" s="151"/>
      <c r="J527" s="152"/>
      <c r="K527" s="152"/>
      <c r="L527" s="152"/>
      <c r="M527" s="152"/>
      <c r="N527" s="150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</row>
    <row r="528" customFormat="false" ht="11.25" hidden="false" customHeight="true" outlineLevel="0" collapsed="false">
      <c r="A528" s="89"/>
      <c r="B528" s="89"/>
      <c r="C528" s="89"/>
      <c r="D528" s="150"/>
      <c r="E528" s="152"/>
      <c r="F528" s="151"/>
      <c r="G528" s="151"/>
      <c r="H528" s="151"/>
      <c r="I528" s="151"/>
      <c r="J528" s="152"/>
      <c r="K528" s="152"/>
      <c r="L528" s="152"/>
      <c r="M528" s="152"/>
      <c r="N528" s="150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</row>
    <row r="529" customFormat="false" ht="11.25" hidden="false" customHeight="true" outlineLevel="0" collapsed="false">
      <c r="A529" s="89"/>
      <c r="B529" s="89"/>
      <c r="C529" s="89"/>
      <c r="D529" s="150"/>
      <c r="E529" s="152"/>
      <c r="F529" s="151"/>
      <c r="G529" s="151"/>
      <c r="H529" s="151"/>
      <c r="I529" s="151"/>
      <c r="J529" s="152"/>
      <c r="K529" s="152"/>
      <c r="L529" s="152"/>
      <c r="M529" s="152"/>
      <c r="N529" s="150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</row>
    <row r="530" customFormat="false" ht="11.25" hidden="false" customHeight="true" outlineLevel="0" collapsed="false">
      <c r="A530" s="89"/>
      <c r="B530" s="89"/>
      <c r="C530" s="89"/>
      <c r="D530" s="150"/>
      <c r="E530" s="152"/>
      <c r="F530" s="151"/>
      <c r="G530" s="151"/>
      <c r="H530" s="151"/>
      <c r="I530" s="151"/>
      <c r="J530" s="152"/>
      <c r="K530" s="152"/>
      <c r="L530" s="152"/>
      <c r="M530" s="152"/>
      <c r="N530" s="150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</row>
    <row r="531" customFormat="false" ht="11.25" hidden="false" customHeight="true" outlineLevel="0" collapsed="false">
      <c r="A531" s="89"/>
      <c r="B531" s="89"/>
      <c r="C531" s="89"/>
      <c r="D531" s="150"/>
      <c r="E531" s="152"/>
      <c r="F531" s="151"/>
      <c r="G531" s="151"/>
      <c r="H531" s="151"/>
      <c r="I531" s="151"/>
      <c r="J531" s="152"/>
      <c r="K531" s="152"/>
      <c r="L531" s="152"/>
      <c r="M531" s="152"/>
      <c r="N531" s="150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</row>
    <row r="532" customFormat="false" ht="11.25" hidden="false" customHeight="true" outlineLevel="0" collapsed="false">
      <c r="A532" s="89"/>
      <c r="B532" s="89"/>
      <c r="C532" s="89"/>
      <c r="D532" s="150"/>
      <c r="E532" s="152"/>
      <c r="F532" s="151"/>
      <c r="G532" s="151"/>
      <c r="H532" s="151"/>
      <c r="I532" s="151"/>
      <c r="J532" s="152"/>
      <c r="K532" s="152"/>
      <c r="L532" s="152"/>
      <c r="M532" s="152"/>
      <c r="N532" s="150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</row>
    <row r="533" customFormat="false" ht="11.25" hidden="false" customHeight="true" outlineLevel="0" collapsed="false">
      <c r="A533" s="89"/>
      <c r="B533" s="89"/>
      <c r="C533" s="89"/>
      <c r="D533" s="150"/>
      <c r="E533" s="152"/>
      <c r="F533" s="151"/>
      <c r="G533" s="151"/>
      <c r="H533" s="151"/>
      <c r="I533" s="151"/>
      <c r="J533" s="152"/>
      <c r="K533" s="152"/>
      <c r="L533" s="152"/>
      <c r="M533" s="152"/>
      <c r="N533" s="150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</row>
    <row r="534" customFormat="false" ht="11.25" hidden="false" customHeight="true" outlineLevel="0" collapsed="false">
      <c r="A534" s="89"/>
      <c r="B534" s="89"/>
      <c r="C534" s="89"/>
      <c r="D534" s="150"/>
      <c r="E534" s="152"/>
      <c r="F534" s="151"/>
      <c r="G534" s="151"/>
      <c r="H534" s="151"/>
      <c r="I534" s="151"/>
      <c r="J534" s="152"/>
      <c r="K534" s="152"/>
      <c r="L534" s="152"/>
      <c r="M534" s="152"/>
      <c r="N534" s="150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</row>
    <row r="535" customFormat="false" ht="11.25" hidden="false" customHeight="true" outlineLevel="0" collapsed="false">
      <c r="A535" s="89"/>
      <c r="B535" s="89"/>
      <c r="C535" s="89"/>
      <c r="D535" s="150"/>
      <c r="E535" s="152"/>
      <c r="F535" s="151"/>
      <c r="G535" s="151"/>
      <c r="H535" s="151"/>
      <c r="I535" s="151"/>
      <c r="J535" s="152"/>
      <c r="K535" s="152"/>
      <c r="L535" s="152"/>
      <c r="M535" s="152"/>
      <c r="N535" s="150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</row>
    <row r="536" customFormat="false" ht="11.25" hidden="false" customHeight="true" outlineLevel="0" collapsed="false">
      <c r="A536" s="89"/>
      <c r="B536" s="89"/>
      <c r="C536" s="89"/>
      <c r="D536" s="150"/>
      <c r="E536" s="152"/>
      <c r="F536" s="151"/>
      <c r="G536" s="151"/>
      <c r="H536" s="151"/>
      <c r="I536" s="151"/>
      <c r="J536" s="152"/>
      <c r="K536" s="152"/>
      <c r="L536" s="152"/>
      <c r="M536" s="152"/>
      <c r="N536" s="150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</row>
    <row r="537" customFormat="false" ht="11.25" hidden="false" customHeight="true" outlineLevel="0" collapsed="false">
      <c r="A537" s="89"/>
      <c r="B537" s="89"/>
      <c r="C537" s="89"/>
      <c r="D537" s="150"/>
      <c r="E537" s="152"/>
      <c r="F537" s="151"/>
      <c r="G537" s="151"/>
      <c r="H537" s="151"/>
      <c r="I537" s="151"/>
      <c r="J537" s="152"/>
      <c r="K537" s="152"/>
      <c r="L537" s="152"/>
      <c r="M537" s="152"/>
      <c r="N537" s="150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</row>
    <row r="538" customFormat="false" ht="11.25" hidden="false" customHeight="true" outlineLevel="0" collapsed="false">
      <c r="A538" s="89"/>
      <c r="B538" s="89"/>
      <c r="C538" s="89"/>
      <c r="D538" s="150"/>
      <c r="E538" s="152"/>
      <c r="F538" s="151"/>
      <c r="G538" s="151"/>
      <c r="H538" s="151"/>
      <c r="I538" s="151"/>
      <c r="J538" s="152"/>
      <c r="K538" s="152"/>
      <c r="L538" s="152"/>
      <c r="M538" s="152"/>
      <c r="N538" s="150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</row>
    <row r="539" customFormat="false" ht="11.25" hidden="false" customHeight="true" outlineLevel="0" collapsed="false">
      <c r="A539" s="89"/>
      <c r="B539" s="89"/>
      <c r="C539" s="89"/>
      <c r="D539" s="150"/>
      <c r="E539" s="152"/>
      <c r="F539" s="151"/>
      <c r="G539" s="151"/>
      <c r="H539" s="151"/>
      <c r="I539" s="151"/>
      <c r="J539" s="152"/>
      <c r="K539" s="152"/>
      <c r="L539" s="152"/>
      <c r="M539" s="152"/>
      <c r="N539" s="150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</row>
    <row r="540" customFormat="false" ht="11.25" hidden="false" customHeight="true" outlineLevel="0" collapsed="false">
      <c r="A540" s="89"/>
      <c r="B540" s="89"/>
      <c r="C540" s="89"/>
      <c r="D540" s="150"/>
      <c r="E540" s="152"/>
      <c r="F540" s="151"/>
      <c r="G540" s="151"/>
      <c r="H540" s="151"/>
      <c r="I540" s="151"/>
      <c r="J540" s="152"/>
      <c r="K540" s="152"/>
      <c r="L540" s="152"/>
      <c r="M540" s="152"/>
      <c r="N540" s="150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</row>
    <row r="541" customFormat="false" ht="11.25" hidden="false" customHeight="true" outlineLevel="0" collapsed="false">
      <c r="A541" s="89"/>
      <c r="B541" s="89"/>
      <c r="C541" s="89"/>
      <c r="D541" s="150"/>
      <c r="E541" s="152"/>
      <c r="F541" s="151"/>
      <c r="G541" s="151"/>
      <c r="H541" s="151"/>
      <c r="I541" s="151"/>
      <c r="J541" s="152"/>
      <c r="K541" s="152"/>
      <c r="L541" s="152"/>
      <c r="M541" s="152"/>
      <c r="N541" s="150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</row>
    <row r="542" customFormat="false" ht="11.25" hidden="false" customHeight="true" outlineLevel="0" collapsed="false">
      <c r="A542" s="89"/>
      <c r="B542" s="89"/>
      <c r="C542" s="89"/>
      <c r="D542" s="150"/>
      <c r="E542" s="152"/>
      <c r="F542" s="151"/>
      <c r="G542" s="151"/>
      <c r="H542" s="151"/>
      <c r="I542" s="151"/>
      <c r="J542" s="152"/>
      <c r="K542" s="152"/>
      <c r="L542" s="152"/>
      <c r="M542" s="152"/>
      <c r="N542" s="150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</row>
    <row r="543" customFormat="false" ht="11.25" hidden="false" customHeight="true" outlineLevel="0" collapsed="false">
      <c r="A543" s="89"/>
      <c r="B543" s="89"/>
      <c r="C543" s="89"/>
      <c r="D543" s="150"/>
      <c r="E543" s="152"/>
      <c r="F543" s="151"/>
      <c r="G543" s="151"/>
      <c r="H543" s="151"/>
      <c r="I543" s="151"/>
      <c r="J543" s="152"/>
      <c r="K543" s="152"/>
      <c r="L543" s="152"/>
      <c r="M543" s="152"/>
      <c r="N543" s="150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</row>
    <row r="544" customFormat="false" ht="11.25" hidden="false" customHeight="true" outlineLevel="0" collapsed="false">
      <c r="A544" s="89"/>
      <c r="B544" s="89"/>
      <c r="C544" s="89"/>
      <c r="D544" s="150"/>
      <c r="E544" s="152"/>
      <c r="F544" s="151"/>
      <c r="G544" s="151"/>
      <c r="H544" s="151"/>
      <c r="I544" s="151"/>
      <c r="J544" s="152"/>
      <c r="K544" s="152"/>
      <c r="L544" s="152"/>
      <c r="M544" s="152"/>
      <c r="N544" s="150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</row>
    <row r="545" customFormat="false" ht="11.25" hidden="false" customHeight="true" outlineLevel="0" collapsed="false">
      <c r="A545" s="89"/>
      <c r="B545" s="89"/>
      <c r="C545" s="89"/>
      <c r="D545" s="150"/>
      <c r="E545" s="152"/>
      <c r="F545" s="151"/>
      <c r="G545" s="151"/>
      <c r="H545" s="151"/>
      <c r="I545" s="151"/>
      <c r="J545" s="152"/>
      <c r="K545" s="152"/>
      <c r="L545" s="152"/>
      <c r="M545" s="152"/>
      <c r="N545" s="150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</row>
    <row r="546" customFormat="false" ht="11.25" hidden="false" customHeight="true" outlineLevel="0" collapsed="false">
      <c r="A546" s="89"/>
      <c r="B546" s="89"/>
      <c r="C546" s="89"/>
      <c r="D546" s="150"/>
      <c r="E546" s="152"/>
      <c r="F546" s="151"/>
      <c r="G546" s="151"/>
      <c r="H546" s="151"/>
      <c r="I546" s="151"/>
      <c r="J546" s="152"/>
      <c r="K546" s="152"/>
      <c r="L546" s="152"/>
      <c r="M546" s="152"/>
      <c r="N546" s="150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</row>
    <row r="547" customFormat="false" ht="11.25" hidden="false" customHeight="true" outlineLevel="0" collapsed="false">
      <c r="A547" s="89"/>
      <c r="B547" s="89"/>
      <c r="C547" s="89"/>
      <c r="D547" s="150"/>
      <c r="E547" s="152"/>
      <c r="F547" s="151"/>
      <c r="G547" s="151"/>
      <c r="H547" s="151"/>
      <c r="I547" s="151"/>
      <c r="J547" s="152"/>
      <c r="K547" s="152"/>
      <c r="L547" s="152"/>
      <c r="M547" s="152"/>
      <c r="N547" s="150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</row>
    <row r="548" customFormat="false" ht="11.25" hidden="false" customHeight="true" outlineLevel="0" collapsed="false">
      <c r="A548" s="89"/>
      <c r="B548" s="89"/>
      <c r="C548" s="89"/>
      <c r="D548" s="150"/>
      <c r="E548" s="152"/>
      <c r="F548" s="151"/>
      <c r="G548" s="151"/>
      <c r="H548" s="151"/>
      <c r="I548" s="151"/>
      <c r="J548" s="152"/>
      <c r="K548" s="152"/>
      <c r="L548" s="152"/>
      <c r="M548" s="152"/>
      <c r="N548" s="150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</row>
    <row r="549" customFormat="false" ht="11.25" hidden="false" customHeight="true" outlineLevel="0" collapsed="false">
      <c r="A549" s="89"/>
      <c r="B549" s="89"/>
      <c r="C549" s="89"/>
      <c r="D549" s="150"/>
      <c r="E549" s="152"/>
      <c r="F549" s="151"/>
      <c r="G549" s="151"/>
      <c r="H549" s="151"/>
      <c r="I549" s="151"/>
      <c r="J549" s="152"/>
      <c r="K549" s="152"/>
      <c r="L549" s="152"/>
      <c r="M549" s="152"/>
      <c r="N549" s="150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</row>
    <row r="550" customFormat="false" ht="11.25" hidden="false" customHeight="true" outlineLevel="0" collapsed="false">
      <c r="A550" s="89"/>
      <c r="B550" s="89"/>
      <c r="C550" s="89"/>
      <c r="D550" s="150"/>
      <c r="E550" s="152"/>
      <c r="F550" s="151"/>
      <c r="G550" s="151"/>
      <c r="H550" s="151"/>
      <c r="I550" s="151"/>
      <c r="J550" s="152"/>
      <c r="K550" s="152"/>
      <c r="L550" s="152"/>
      <c r="M550" s="152"/>
      <c r="N550" s="150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</row>
    <row r="551" customFormat="false" ht="11.25" hidden="false" customHeight="true" outlineLevel="0" collapsed="false">
      <c r="A551" s="89"/>
      <c r="B551" s="89"/>
      <c r="C551" s="89"/>
      <c r="D551" s="150"/>
      <c r="E551" s="152"/>
      <c r="F551" s="151"/>
      <c r="G551" s="151"/>
      <c r="H551" s="151"/>
      <c r="I551" s="151"/>
      <c r="J551" s="152"/>
      <c r="K551" s="152"/>
      <c r="L551" s="152"/>
      <c r="M551" s="152"/>
      <c r="N551" s="150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</row>
    <row r="552" customFormat="false" ht="11.25" hidden="false" customHeight="true" outlineLevel="0" collapsed="false">
      <c r="A552" s="89"/>
      <c r="B552" s="89"/>
      <c r="C552" s="89"/>
      <c r="D552" s="150"/>
      <c r="E552" s="152"/>
      <c r="F552" s="151"/>
      <c r="G552" s="151"/>
      <c r="H552" s="151"/>
      <c r="I552" s="151"/>
      <c r="J552" s="152"/>
      <c r="K552" s="152"/>
      <c r="L552" s="152"/>
      <c r="M552" s="152"/>
      <c r="N552" s="150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</row>
    <row r="553" customFormat="false" ht="11.25" hidden="false" customHeight="true" outlineLevel="0" collapsed="false">
      <c r="A553" s="89"/>
      <c r="B553" s="89"/>
      <c r="C553" s="89"/>
      <c r="D553" s="150"/>
      <c r="E553" s="152"/>
      <c r="F553" s="151"/>
      <c r="G553" s="151"/>
      <c r="H553" s="151"/>
      <c r="I553" s="151"/>
      <c r="J553" s="152"/>
      <c r="K553" s="152"/>
      <c r="L553" s="152"/>
      <c r="M553" s="152"/>
      <c r="N553" s="150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</row>
    <row r="554" customFormat="false" ht="11.25" hidden="false" customHeight="true" outlineLevel="0" collapsed="false">
      <c r="A554" s="89"/>
      <c r="B554" s="89"/>
      <c r="C554" s="89"/>
      <c r="D554" s="150"/>
      <c r="E554" s="152"/>
      <c r="F554" s="151"/>
      <c r="G554" s="151"/>
      <c r="H554" s="151"/>
      <c r="I554" s="151"/>
      <c r="J554" s="152"/>
      <c r="K554" s="152"/>
      <c r="L554" s="152"/>
      <c r="M554" s="152"/>
      <c r="N554" s="150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</row>
    <row r="555" customFormat="false" ht="11.25" hidden="false" customHeight="true" outlineLevel="0" collapsed="false">
      <c r="A555" s="89"/>
      <c r="B555" s="89"/>
      <c r="C555" s="89"/>
      <c r="D555" s="150"/>
      <c r="E555" s="152"/>
      <c r="F555" s="151"/>
      <c r="G555" s="151"/>
      <c r="H555" s="151"/>
      <c r="I555" s="151"/>
      <c r="J555" s="152"/>
      <c r="K555" s="152"/>
      <c r="L555" s="152"/>
      <c r="M555" s="152"/>
      <c r="N555" s="150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</row>
    <row r="556" customFormat="false" ht="11.25" hidden="false" customHeight="true" outlineLevel="0" collapsed="false">
      <c r="A556" s="89"/>
      <c r="B556" s="89"/>
      <c r="C556" s="89"/>
      <c r="D556" s="150"/>
      <c r="E556" s="152"/>
      <c r="F556" s="151"/>
      <c r="G556" s="151"/>
      <c r="H556" s="151"/>
      <c r="I556" s="151"/>
      <c r="J556" s="152"/>
      <c r="K556" s="152"/>
      <c r="L556" s="152"/>
      <c r="M556" s="152"/>
      <c r="N556" s="150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</row>
    <row r="557" customFormat="false" ht="11.25" hidden="false" customHeight="true" outlineLevel="0" collapsed="false">
      <c r="A557" s="89"/>
      <c r="B557" s="89"/>
      <c r="C557" s="89"/>
      <c r="D557" s="150"/>
      <c r="E557" s="152"/>
      <c r="F557" s="151"/>
      <c r="G557" s="151"/>
      <c r="H557" s="151"/>
      <c r="I557" s="151"/>
      <c r="J557" s="152"/>
      <c r="K557" s="152"/>
      <c r="L557" s="152"/>
      <c r="M557" s="152"/>
      <c r="N557" s="150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</row>
    <row r="558" customFormat="false" ht="11.25" hidden="false" customHeight="true" outlineLevel="0" collapsed="false">
      <c r="A558" s="89"/>
      <c r="B558" s="89"/>
      <c r="C558" s="89"/>
      <c r="D558" s="150"/>
      <c r="E558" s="152"/>
      <c r="F558" s="151"/>
      <c r="G558" s="151"/>
      <c r="H558" s="151"/>
      <c r="I558" s="151"/>
      <c r="J558" s="152"/>
      <c r="K558" s="152"/>
      <c r="L558" s="152"/>
      <c r="M558" s="152"/>
      <c r="N558" s="150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</row>
    <row r="559" customFormat="false" ht="11.25" hidden="false" customHeight="true" outlineLevel="0" collapsed="false">
      <c r="A559" s="89"/>
      <c r="B559" s="89"/>
      <c r="C559" s="89"/>
      <c r="D559" s="150"/>
      <c r="E559" s="152"/>
      <c r="F559" s="151"/>
      <c r="G559" s="151"/>
      <c r="H559" s="151"/>
      <c r="I559" s="151"/>
      <c r="J559" s="152"/>
      <c r="K559" s="152"/>
      <c r="L559" s="152"/>
      <c r="M559" s="152"/>
      <c r="N559" s="150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</row>
    <row r="560" customFormat="false" ht="11.25" hidden="false" customHeight="true" outlineLevel="0" collapsed="false">
      <c r="A560" s="89"/>
      <c r="B560" s="89"/>
      <c r="C560" s="89"/>
      <c r="D560" s="150"/>
      <c r="E560" s="152"/>
      <c r="F560" s="151"/>
      <c r="G560" s="151"/>
      <c r="H560" s="151"/>
      <c r="I560" s="151"/>
      <c r="J560" s="152"/>
      <c r="K560" s="152"/>
      <c r="L560" s="152"/>
      <c r="M560" s="152"/>
      <c r="N560" s="150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</row>
    <row r="561" customFormat="false" ht="11.25" hidden="false" customHeight="true" outlineLevel="0" collapsed="false">
      <c r="A561" s="89"/>
      <c r="B561" s="89"/>
      <c r="C561" s="89"/>
      <c r="D561" s="150"/>
      <c r="E561" s="152"/>
      <c r="F561" s="151"/>
      <c r="G561" s="151"/>
      <c r="H561" s="151"/>
      <c r="I561" s="151"/>
      <c r="J561" s="152"/>
      <c r="K561" s="152"/>
      <c r="L561" s="152"/>
      <c r="M561" s="152"/>
      <c r="N561" s="150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</row>
    <row r="562" customFormat="false" ht="11.25" hidden="false" customHeight="true" outlineLevel="0" collapsed="false">
      <c r="A562" s="89"/>
      <c r="B562" s="89"/>
      <c r="C562" s="89"/>
      <c r="D562" s="150"/>
      <c r="E562" s="152"/>
      <c r="F562" s="151"/>
      <c r="G562" s="151"/>
      <c r="H562" s="151"/>
      <c r="I562" s="151"/>
      <c r="J562" s="152"/>
      <c r="K562" s="152"/>
      <c r="L562" s="152"/>
      <c r="M562" s="152"/>
      <c r="N562" s="150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</row>
    <row r="563" customFormat="false" ht="11.25" hidden="false" customHeight="true" outlineLevel="0" collapsed="false">
      <c r="A563" s="89"/>
      <c r="B563" s="89"/>
      <c r="C563" s="89"/>
      <c r="D563" s="150"/>
      <c r="E563" s="152"/>
      <c r="F563" s="151"/>
      <c r="G563" s="151"/>
      <c r="H563" s="151"/>
      <c r="I563" s="151"/>
      <c r="J563" s="152"/>
      <c r="K563" s="152"/>
      <c r="L563" s="152"/>
      <c r="M563" s="152"/>
      <c r="N563" s="150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</row>
    <row r="564" customFormat="false" ht="11.25" hidden="false" customHeight="true" outlineLevel="0" collapsed="false">
      <c r="A564" s="89"/>
      <c r="B564" s="89"/>
      <c r="C564" s="89"/>
      <c r="D564" s="150"/>
      <c r="E564" s="152"/>
      <c r="F564" s="151"/>
      <c r="G564" s="151"/>
      <c r="H564" s="151"/>
      <c r="I564" s="151"/>
      <c r="J564" s="152"/>
      <c r="K564" s="152"/>
      <c r="L564" s="152"/>
      <c r="M564" s="152"/>
      <c r="N564" s="150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</row>
    <row r="565" customFormat="false" ht="11.25" hidden="false" customHeight="true" outlineLevel="0" collapsed="false">
      <c r="A565" s="89"/>
      <c r="B565" s="89"/>
      <c r="C565" s="89"/>
      <c r="D565" s="150"/>
      <c r="E565" s="152"/>
      <c r="F565" s="151"/>
      <c r="G565" s="151"/>
      <c r="H565" s="151"/>
      <c r="I565" s="151"/>
      <c r="J565" s="152"/>
      <c r="K565" s="152"/>
      <c r="L565" s="152"/>
      <c r="M565" s="152"/>
      <c r="N565" s="150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</row>
    <row r="566" customFormat="false" ht="11.25" hidden="false" customHeight="true" outlineLevel="0" collapsed="false">
      <c r="A566" s="89"/>
      <c r="B566" s="89"/>
      <c r="C566" s="89"/>
      <c r="D566" s="150"/>
      <c r="E566" s="152"/>
      <c r="F566" s="151"/>
      <c r="G566" s="151"/>
      <c r="H566" s="151"/>
      <c r="I566" s="151"/>
      <c r="J566" s="152"/>
      <c r="K566" s="152"/>
      <c r="L566" s="152"/>
      <c r="M566" s="152"/>
      <c r="N566" s="150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</row>
    <row r="567" customFormat="false" ht="11.25" hidden="false" customHeight="true" outlineLevel="0" collapsed="false">
      <c r="A567" s="89"/>
      <c r="B567" s="89"/>
      <c r="C567" s="89"/>
      <c r="D567" s="150"/>
      <c r="E567" s="152"/>
      <c r="F567" s="151"/>
      <c r="G567" s="151"/>
      <c r="H567" s="151"/>
      <c r="I567" s="151"/>
      <c r="J567" s="152"/>
      <c r="K567" s="152"/>
      <c r="L567" s="152"/>
      <c r="M567" s="152"/>
      <c r="N567" s="150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</row>
    <row r="568" customFormat="false" ht="11.25" hidden="false" customHeight="true" outlineLevel="0" collapsed="false">
      <c r="A568" s="89"/>
      <c r="B568" s="89"/>
      <c r="C568" s="89"/>
      <c r="D568" s="150"/>
      <c r="E568" s="152"/>
      <c r="F568" s="151"/>
      <c r="G568" s="151"/>
      <c r="H568" s="151"/>
      <c r="I568" s="151"/>
      <c r="J568" s="152"/>
      <c r="K568" s="152"/>
      <c r="L568" s="152"/>
      <c r="M568" s="152"/>
      <c r="N568" s="150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</row>
    <row r="569" customFormat="false" ht="11.25" hidden="false" customHeight="true" outlineLevel="0" collapsed="false">
      <c r="A569" s="89"/>
      <c r="B569" s="89"/>
      <c r="C569" s="89"/>
      <c r="D569" s="150"/>
      <c r="E569" s="152"/>
      <c r="F569" s="151"/>
      <c r="G569" s="151"/>
      <c r="H569" s="151"/>
      <c r="I569" s="151"/>
      <c r="J569" s="152"/>
      <c r="K569" s="152"/>
      <c r="L569" s="152"/>
      <c r="M569" s="152"/>
      <c r="N569" s="150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</row>
    <row r="570" customFormat="false" ht="11.25" hidden="false" customHeight="true" outlineLevel="0" collapsed="false">
      <c r="A570" s="89"/>
      <c r="B570" s="89"/>
      <c r="C570" s="89"/>
      <c r="D570" s="150"/>
      <c r="E570" s="152"/>
      <c r="F570" s="151"/>
      <c r="G570" s="151"/>
      <c r="H570" s="151"/>
      <c r="I570" s="151"/>
      <c r="J570" s="152"/>
      <c r="K570" s="152"/>
      <c r="L570" s="152"/>
      <c r="M570" s="152"/>
      <c r="N570" s="150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</row>
    <row r="571" customFormat="false" ht="11.25" hidden="false" customHeight="true" outlineLevel="0" collapsed="false">
      <c r="A571" s="89"/>
      <c r="B571" s="89"/>
      <c r="C571" s="89"/>
      <c r="D571" s="150"/>
      <c r="E571" s="152"/>
      <c r="F571" s="151"/>
      <c r="G571" s="151"/>
      <c r="H571" s="151"/>
      <c r="I571" s="151"/>
      <c r="J571" s="152"/>
      <c r="K571" s="152"/>
      <c r="L571" s="152"/>
      <c r="M571" s="152"/>
      <c r="N571" s="150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</row>
    <row r="572" customFormat="false" ht="11.25" hidden="false" customHeight="true" outlineLevel="0" collapsed="false">
      <c r="A572" s="89"/>
      <c r="B572" s="89"/>
      <c r="C572" s="89"/>
      <c r="D572" s="150"/>
      <c r="E572" s="152"/>
      <c r="F572" s="151"/>
      <c r="G572" s="151"/>
      <c r="H572" s="151"/>
      <c r="I572" s="151"/>
      <c r="J572" s="152"/>
      <c r="K572" s="152"/>
      <c r="L572" s="152"/>
      <c r="M572" s="152"/>
      <c r="N572" s="150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</row>
    <row r="573" customFormat="false" ht="11.25" hidden="false" customHeight="true" outlineLevel="0" collapsed="false">
      <c r="A573" s="89"/>
      <c r="B573" s="89"/>
      <c r="C573" s="89"/>
      <c r="D573" s="150"/>
      <c r="E573" s="152"/>
      <c r="F573" s="151"/>
      <c r="G573" s="151"/>
      <c r="H573" s="151"/>
      <c r="I573" s="151"/>
      <c r="J573" s="152"/>
      <c r="K573" s="152"/>
      <c r="L573" s="152"/>
      <c r="M573" s="152"/>
      <c r="N573" s="150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</row>
    <row r="574" customFormat="false" ht="11.25" hidden="false" customHeight="true" outlineLevel="0" collapsed="false">
      <c r="A574" s="89"/>
      <c r="B574" s="89"/>
      <c r="C574" s="89"/>
      <c r="D574" s="150"/>
      <c r="E574" s="152"/>
      <c r="F574" s="151"/>
      <c r="G574" s="151"/>
      <c r="H574" s="151"/>
      <c r="I574" s="151"/>
      <c r="J574" s="152"/>
      <c r="K574" s="152"/>
      <c r="L574" s="152"/>
      <c r="M574" s="152"/>
      <c r="N574" s="150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</row>
    <row r="575" customFormat="false" ht="11.25" hidden="false" customHeight="true" outlineLevel="0" collapsed="false">
      <c r="A575" s="89"/>
      <c r="B575" s="89"/>
      <c r="C575" s="89"/>
      <c r="D575" s="150"/>
      <c r="E575" s="152"/>
      <c r="F575" s="151"/>
      <c r="G575" s="151"/>
      <c r="H575" s="151"/>
      <c r="I575" s="151"/>
      <c r="J575" s="152"/>
      <c r="K575" s="152"/>
      <c r="L575" s="152"/>
      <c r="M575" s="152"/>
      <c r="N575" s="150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</row>
    <row r="576" customFormat="false" ht="11.25" hidden="false" customHeight="true" outlineLevel="0" collapsed="false">
      <c r="A576" s="89"/>
      <c r="B576" s="89"/>
      <c r="C576" s="89"/>
      <c r="D576" s="150"/>
      <c r="E576" s="152"/>
      <c r="F576" s="151"/>
      <c r="G576" s="151"/>
      <c r="H576" s="151"/>
      <c r="I576" s="151"/>
      <c r="J576" s="152"/>
      <c r="K576" s="152"/>
      <c r="L576" s="152"/>
      <c r="M576" s="152"/>
      <c r="N576" s="150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</row>
    <row r="577" customFormat="false" ht="11.25" hidden="false" customHeight="true" outlineLevel="0" collapsed="false">
      <c r="A577" s="89"/>
      <c r="B577" s="89"/>
      <c r="C577" s="89"/>
      <c r="D577" s="150"/>
      <c r="E577" s="152"/>
      <c r="F577" s="151"/>
      <c r="G577" s="151"/>
      <c r="H577" s="151"/>
      <c r="I577" s="151"/>
      <c r="J577" s="152"/>
      <c r="K577" s="152"/>
      <c r="L577" s="152"/>
      <c r="M577" s="152"/>
      <c r="N577" s="150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</row>
    <row r="578" customFormat="false" ht="11.25" hidden="false" customHeight="true" outlineLevel="0" collapsed="false">
      <c r="A578" s="89"/>
      <c r="B578" s="89"/>
      <c r="C578" s="89"/>
      <c r="D578" s="150"/>
      <c r="E578" s="152"/>
      <c r="F578" s="151"/>
      <c r="G578" s="151"/>
      <c r="H578" s="151"/>
      <c r="I578" s="151"/>
      <c r="J578" s="152"/>
      <c r="K578" s="152"/>
      <c r="L578" s="152"/>
      <c r="M578" s="152"/>
      <c r="N578" s="150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</row>
    <row r="579" customFormat="false" ht="11.25" hidden="false" customHeight="true" outlineLevel="0" collapsed="false">
      <c r="A579" s="89"/>
      <c r="B579" s="89"/>
      <c r="C579" s="89"/>
      <c r="D579" s="150"/>
      <c r="E579" s="152"/>
      <c r="F579" s="151"/>
      <c r="G579" s="151"/>
      <c r="H579" s="151"/>
      <c r="I579" s="151"/>
      <c r="J579" s="152"/>
      <c r="K579" s="152"/>
      <c r="L579" s="152"/>
      <c r="M579" s="152"/>
      <c r="N579" s="150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</row>
    <row r="580" customFormat="false" ht="11.25" hidden="false" customHeight="true" outlineLevel="0" collapsed="false">
      <c r="A580" s="89"/>
      <c r="B580" s="89"/>
      <c r="C580" s="89"/>
      <c r="D580" s="150"/>
      <c r="E580" s="152"/>
      <c r="F580" s="151"/>
      <c r="G580" s="151"/>
      <c r="H580" s="151"/>
      <c r="I580" s="151"/>
      <c r="J580" s="152"/>
      <c r="K580" s="152"/>
      <c r="L580" s="152"/>
      <c r="M580" s="152"/>
      <c r="N580" s="150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</row>
    <row r="581" customFormat="false" ht="11.25" hidden="false" customHeight="true" outlineLevel="0" collapsed="false">
      <c r="A581" s="89"/>
      <c r="B581" s="89"/>
      <c r="C581" s="89"/>
      <c r="D581" s="150"/>
      <c r="E581" s="152"/>
      <c r="F581" s="151"/>
      <c r="G581" s="151"/>
      <c r="H581" s="151"/>
      <c r="I581" s="151"/>
      <c r="J581" s="152"/>
      <c r="K581" s="152"/>
      <c r="L581" s="152"/>
      <c r="M581" s="152"/>
      <c r="N581" s="150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</row>
    <row r="582" customFormat="false" ht="11.25" hidden="false" customHeight="true" outlineLevel="0" collapsed="false">
      <c r="A582" s="89"/>
      <c r="B582" s="89"/>
      <c r="C582" s="89"/>
      <c r="D582" s="150"/>
      <c r="E582" s="152"/>
      <c r="F582" s="151"/>
      <c r="G582" s="151"/>
      <c r="H582" s="151"/>
      <c r="I582" s="151"/>
      <c r="J582" s="152"/>
      <c r="K582" s="152"/>
      <c r="L582" s="152"/>
      <c r="M582" s="152"/>
      <c r="N582" s="150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</row>
    <row r="583" customFormat="false" ht="11.25" hidden="false" customHeight="true" outlineLevel="0" collapsed="false">
      <c r="A583" s="89"/>
      <c r="B583" s="89"/>
      <c r="C583" s="89"/>
      <c r="D583" s="150"/>
      <c r="E583" s="152"/>
      <c r="F583" s="151"/>
      <c r="G583" s="151"/>
      <c r="H583" s="151"/>
      <c r="I583" s="151"/>
      <c r="J583" s="152"/>
      <c r="K583" s="152"/>
      <c r="L583" s="152"/>
      <c r="M583" s="152"/>
      <c r="N583" s="150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</row>
    <row r="584" customFormat="false" ht="11.25" hidden="false" customHeight="true" outlineLevel="0" collapsed="false">
      <c r="A584" s="89"/>
      <c r="B584" s="89"/>
      <c r="C584" s="89"/>
      <c r="D584" s="150"/>
      <c r="E584" s="152"/>
      <c r="F584" s="151"/>
      <c r="G584" s="151"/>
      <c r="H584" s="151"/>
      <c r="I584" s="151"/>
      <c r="J584" s="152"/>
      <c r="K584" s="152"/>
      <c r="L584" s="152"/>
      <c r="M584" s="152"/>
      <c r="N584" s="150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</row>
    <row r="585" customFormat="false" ht="11.25" hidden="false" customHeight="true" outlineLevel="0" collapsed="false">
      <c r="A585" s="89"/>
      <c r="B585" s="89"/>
      <c r="C585" s="89"/>
      <c r="D585" s="150"/>
      <c r="E585" s="152"/>
      <c r="F585" s="151"/>
      <c r="G585" s="151"/>
      <c r="H585" s="151"/>
      <c r="I585" s="151"/>
      <c r="J585" s="152"/>
      <c r="K585" s="152"/>
      <c r="L585" s="152"/>
      <c r="M585" s="152"/>
      <c r="N585" s="150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</row>
    <row r="586" customFormat="false" ht="11.25" hidden="false" customHeight="true" outlineLevel="0" collapsed="false">
      <c r="A586" s="89"/>
      <c r="B586" s="89"/>
      <c r="C586" s="89"/>
      <c r="D586" s="150"/>
      <c r="E586" s="152"/>
      <c r="F586" s="151"/>
      <c r="G586" s="151"/>
      <c r="H586" s="151"/>
      <c r="I586" s="151"/>
      <c r="J586" s="152"/>
      <c r="K586" s="152"/>
      <c r="L586" s="152"/>
      <c r="M586" s="152"/>
      <c r="N586" s="150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</row>
    <row r="587" customFormat="false" ht="11.25" hidden="false" customHeight="true" outlineLevel="0" collapsed="false">
      <c r="A587" s="89"/>
      <c r="B587" s="89"/>
      <c r="C587" s="89"/>
      <c r="D587" s="150"/>
      <c r="E587" s="152"/>
      <c r="F587" s="151"/>
      <c r="G587" s="151"/>
      <c r="H587" s="151"/>
      <c r="I587" s="151"/>
      <c r="J587" s="152"/>
      <c r="K587" s="152"/>
      <c r="L587" s="152"/>
      <c r="M587" s="152"/>
      <c r="N587" s="150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</row>
    <row r="588" customFormat="false" ht="11.25" hidden="false" customHeight="true" outlineLevel="0" collapsed="false">
      <c r="A588" s="89"/>
      <c r="B588" s="89"/>
      <c r="C588" s="89"/>
      <c r="D588" s="150"/>
      <c r="E588" s="152"/>
      <c r="F588" s="151"/>
      <c r="G588" s="151"/>
      <c r="H588" s="151"/>
      <c r="I588" s="151"/>
      <c r="J588" s="152"/>
      <c r="K588" s="152"/>
      <c r="L588" s="152"/>
      <c r="M588" s="152"/>
      <c r="N588" s="150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</row>
    <row r="589" customFormat="false" ht="11.25" hidden="false" customHeight="true" outlineLevel="0" collapsed="false">
      <c r="A589" s="89"/>
      <c r="B589" s="89"/>
      <c r="C589" s="89"/>
      <c r="D589" s="150"/>
      <c r="E589" s="152"/>
      <c r="F589" s="151"/>
      <c r="G589" s="151"/>
      <c r="H589" s="151"/>
      <c r="I589" s="151"/>
      <c r="J589" s="152"/>
      <c r="K589" s="152"/>
      <c r="L589" s="152"/>
      <c r="M589" s="152"/>
      <c r="N589" s="150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</row>
    <row r="590" customFormat="false" ht="11.25" hidden="false" customHeight="true" outlineLevel="0" collapsed="false">
      <c r="A590" s="89"/>
      <c r="B590" s="89"/>
      <c r="C590" s="89"/>
      <c r="D590" s="150"/>
      <c r="E590" s="152"/>
      <c r="F590" s="151"/>
      <c r="G590" s="151"/>
      <c r="H590" s="151"/>
      <c r="I590" s="151"/>
      <c r="J590" s="152"/>
      <c r="K590" s="152"/>
      <c r="L590" s="152"/>
      <c r="M590" s="152"/>
      <c r="N590" s="150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</row>
    <row r="591" customFormat="false" ht="11.25" hidden="false" customHeight="true" outlineLevel="0" collapsed="false">
      <c r="A591" s="89"/>
      <c r="B591" s="89"/>
      <c r="C591" s="89"/>
      <c r="D591" s="150"/>
      <c r="E591" s="152"/>
      <c r="F591" s="151"/>
      <c r="G591" s="151"/>
      <c r="H591" s="151"/>
      <c r="I591" s="151"/>
      <c r="J591" s="152"/>
      <c r="K591" s="152"/>
      <c r="L591" s="152"/>
      <c r="M591" s="152"/>
      <c r="N591" s="150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</row>
    <row r="592" customFormat="false" ht="11.25" hidden="false" customHeight="true" outlineLevel="0" collapsed="false">
      <c r="A592" s="89"/>
      <c r="B592" s="89"/>
      <c r="C592" s="89"/>
      <c r="D592" s="150"/>
      <c r="E592" s="152"/>
      <c r="F592" s="151"/>
      <c r="G592" s="151"/>
      <c r="H592" s="151"/>
      <c r="I592" s="151"/>
      <c r="J592" s="152"/>
      <c r="K592" s="152"/>
      <c r="L592" s="152"/>
      <c r="M592" s="152"/>
      <c r="N592" s="150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</row>
    <row r="593" customFormat="false" ht="11.25" hidden="false" customHeight="true" outlineLevel="0" collapsed="false">
      <c r="A593" s="89"/>
      <c r="B593" s="89"/>
      <c r="C593" s="89"/>
      <c r="D593" s="150"/>
      <c r="E593" s="152"/>
      <c r="F593" s="151"/>
      <c r="G593" s="151"/>
      <c r="H593" s="151"/>
      <c r="I593" s="151"/>
      <c r="J593" s="152"/>
      <c r="K593" s="152"/>
      <c r="L593" s="152"/>
      <c r="M593" s="152"/>
      <c r="N593" s="150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</row>
    <row r="594" customFormat="false" ht="11.25" hidden="false" customHeight="true" outlineLevel="0" collapsed="false">
      <c r="A594" s="89"/>
      <c r="B594" s="89"/>
      <c r="C594" s="89"/>
      <c r="D594" s="150"/>
      <c r="E594" s="152"/>
      <c r="F594" s="151"/>
      <c r="G594" s="151"/>
      <c r="H594" s="151"/>
      <c r="I594" s="151"/>
      <c r="J594" s="152"/>
      <c r="K594" s="152"/>
      <c r="L594" s="152"/>
      <c r="M594" s="152"/>
      <c r="N594" s="150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</row>
    <row r="595" customFormat="false" ht="11.25" hidden="false" customHeight="true" outlineLevel="0" collapsed="false">
      <c r="A595" s="89"/>
      <c r="B595" s="89"/>
      <c r="C595" s="89"/>
      <c r="D595" s="150"/>
      <c r="E595" s="152"/>
      <c r="F595" s="151"/>
      <c r="G595" s="151"/>
      <c r="H595" s="151"/>
      <c r="I595" s="151"/>
      <c r="J595" s="152"/>
      <c r="K595" s="152"/>
      <c r="L595" s="152"/>
      <c r="M595" s="152"/>
      <c r="N595" s="150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</row>
    <row r="596" customFormat="false" ht="11.25" hidden="false" customHeight="true" outlineLevel="0" collapsed="false">
      <c r="A596" s="89"/>
      <c r="B596" s="89"/>
      <c r="C596" s="89"/>
      <c r="D596" s="150"/>
      <c r="E596" s="152"/>
      <c r="F596" s="151"/>
      <c r="G596" s="151"/>
      <c r="H596" s="151"/>
      <c r="I596" s="151"/>
      <c r="J596" s="152"/>
      <c r="K596" s="152"/>
      <c r="L596" s="152"/>
      <c r="M596" s="152"/>
      <c r="N596" s="150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</row>
    <row r="597" customFormat="false" ht="11.25" hidden="false" customHeight="true" outlineLevel="0" collapsed="false">
      <c r="A597" s="89"/>
      <c r="B597" s="89"/>
      <c r="C597" s="89"/>
      <c r="D597" s="150"/>
      <c r="E597" s="152"/>
      <c r="F597" s="151"/>
      <c r="G597" s="151"/>
      <c r="H597" s="151"/>
      <c r="I597" s="151"/>
      <c r="J597" s="152"/>
      <c r="K597" s="152"/>
      <c r="L597" s="152"/>
      <c r="M597" s="152"/>
      <c r="N597" s="150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</row>
    <row r="598" customFormat="false" ht="11.25" hidden="false" customHeight="true" outlineLevel="0" collapsed="false">
      <c r="A598" s="89"/>
      <c r="B598" s="89"/>
      <c r="C598" s="89"/>
      <c r="D598" s="150"/>
      <c r="E598" s="152"/>
      <c r="F598" s="151"/>
      <c r="G598" s="151"/>
      <c r="H598" s="151"/>
      <c r="I598" s="151"/>
      <c r="J598" s="152"/>
      <c r="K598" s="152"/>
      <c r="L598" s="152"/>
      <c r="M598" s="152"/>
      <c r="N598" s="150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</row>
    <row r="599" customFormat="false" ht="11.25" hidden="false" customHeight="true" outlineLevel="0" collapsed="false">
      <c r="A599" s="89"/>
      <c r="B599" s="89"/>
      <c r="C599" s="89"/>
      <c r="D599" s="150"/>
      <c r="E599" s="152"/>
      <c r="F599" s="151"/>
      <c r="G599" s="151"/>
      <c r="H599" s="151"/>
      <c r="I599" s="151"/>
      <c r="J599" s="152"/>
      <c r="K599" s="152"/>
      <c r="L599" s="152"/>
      <c r="M599" s="152"/>
      <c r="N599" s="150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</row>
    <row r="600" customFormat="false" ht="11.25" hidden="false" customHeight="true" outlineLevel="0" collapsed="false">
      <c r="A600" s="89"/>
      <c r="B600" s="89"/>
      <c r="C600" s="89"/>
      <c r="D600" s="150"/>
      <c r="E600" s="152"/>
      <c r="F600" s="151"/>
      <c r="G600" s="151"/>
      <c r="H600" s="151"/>
      <c r="I600" s="151"/>
      <c r="J600" s="152"/>
      <c r="K600" s="152"/>
      <c r="L600" s="152"/>
      <c r="M600" s="152"/>
      <c r="N600" s="150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</row>
    <row r="601" customFormat="false" ht="11.25" hidden="false" customHeight="true" outlineLevel="0" collapsed="false">
      <c r="A601" s="89"/>
      <c r="B601" s="89"/>
      <c r="C601" s="89"/>
      <c r="D601" s="150"/>
      <c r="E601" s="152"/>
      <c r="F601" s="151"/>
      <c r="G601" s="151"/>
      <c r="H601" s="151"/>
      <c r="I601" s="151"/>
      <c r="J601" s="152"/>
      <c r="K601" s="152"/>
      <c r="L601" s="152"/>
      <c r="M601" s="152"/>
      <c r="N601" s="150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</row>
    <row r="602" customFormat="false" ht="11.25" hidden="false" customHeight="true" outlineLevel="0" collapsed="false">
      <c r="A602" s="89"/>
      <c r="B602" s="89"/>
      <c r="C602" s="89"/>
      <c r="D602" s="150"/>
      <c r="E602" s="152"/>
      <c r="F602" s="151"/>
      <c r="G602" s="151"/>
      <c r="H602" s="151"/>
      <c r="I602" s="151"/>
      <c r="J602" s="152"/>
      <c r="K602" s="152"/>
      <c r="L602" s="152"/>
      <c r="M602" s="152"/>
      <c r="N602" s="150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</row>
    <row r="603" customFormat="false" ht="11.25" hidden="false" customHeight="true" outlineLevel="0" collapsed="false">
      <c r="A603" s="89"/>
      <c r="B603" s="89"/>
      <c r="C603" s="89"/>
      <c r="D603" s="150"/>
      <c r="E603" s="152"/>
      <c r="F603" s="151"/>
      <c r="G603" s="151"/>
      <c r="H603" s="151"/>
      <c r="I603" s="151"/>
      <c r="J603" s="152"/>
      <c r="K603" s="152"/>
      <c r="L603" s="152"/>
      <c r="M603" s="152"/>
      <c r="N603" s="150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</row>
    <row r="604" customFormat="false" ht="11.25" hidden="false" customHeight="true" outlineLevel="0" collapsed="false">
      <c r="A604" s="89"/>
      <c r="B604" s="89"/>
      <c r="C604" s="89"/>
      <c r="D604" s="150"/>
      <c r="E604" s="152"/>
      <c r="F604" s="151"/>
      <c r="G604" s="151"/>
      <c r="H604" s="151"/>
      <c r="I604" s="151"/>
      <c r="J604" s="152"/>
      <c r="K604" s="152"/>
      <c r="L604" s="152"/>
      <c r="M604" s="152"/>
      <c r="N604" s="150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</row>
    <row r="605" customFormat="false" ht="11.25" hidden="false" customHeight="true" outlineLevel="0" collapsed="false">
      <c r="A605" s="89"/>
      <c r="B605" s="89"/>
      <c r="C605" s="89"/>
      <c r="D605" s="150"/>
      <c r="E605" s="152"/>
      <c r="F605" s="151"/>
      <c r="G605" s="151"/>
      <c r="H605" s="151"/>
      <c r="I605" s="151"/>
      <c r="J605" s="152"/>
      <c r="K605" s="152"/>
      <c r="L605" s="152"/>
      <c r="M605" s="152"/>
      <c r="N605" s="150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</row>
    <row r="606" customFormat="false" ht="11.25" hidden="false" customHeight="true" outlineLevel="0" collapsed="false">
      <c r="A606" s="89"/>
      <c r="B606" s="89"/>
      <c r="C606" s="89"/>
      <c r="D606" s="150"/>
      <c r="E606" s="152"/>
      <c r="F606" s="151"/>
      <c r="G606" s="151"/>
      <c r="H606" s="151"/>
      <c r="I606" s="151"/>
      <c r="J606" s="152"/>
      <c r="K606" s="152"/>
      <c r="L606" s="152"/>
      <c r="M606" s="152"/>
      <c r="N606" s="150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</row>
    <row r="607" customFormat="false" ht="11.25" hidden="false" customHeight="true" outlineLevel="0" collapsed="false">
      <c r="A607" s="89"/>
      <c r="B607" s="89"/>
      <c r="C607" s="89"/>
      <c r="D607" s="150"/>
      <c r="E607" s="152"/>
      <c r="F607" s="151"/>
      <c r="G607" s="151"/>
      <c r="H607" s="151"/>
      <c r="I607" s="151"/>
      <c r="J607" s="152"/>
      <c r="K607" s="152"/>
      <c r="L607" s="152"/>
      <c r="M607" s="152"/>
      <c r="N607" s="150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</row>
    <row r="608" customFormat="false" ht="11.25" hidden="false" customHeight="true" outlineLevel="0" collapsed="false">
      <c r="A608" s="89"/>
      <c r="B608" s="89"/>
      <c r="C608" s="89"/>
      <c r="D608" s="150"/>
      <c r="E608" s="152"/>
      <c r="F608" s="151"/>
      <c r="G608" s="151"/>
      <c r="H608" s="151"/>
      <c r="I608" s="151"/>
      <c r="J608" s="152"/>
      <c r="K608" s="152"/>
      <c r="L608" s="152"/>
      <c r="M608" s="152"/>
      <c r="N608" s="150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</row>
    <row r="609" customFormat="false" ht="11.25" hidden="false" customHeight="true" outlineLevel="0" collapsed="false">
      <c r="A609" s="89"/>
      <c r="B609" s="89"/>
      <c r="C609" s="89"/>
      <c r="D609" s="150"/>
      <c r="E609" s="152"/>
      <c r="F609" s="151"/>
      <c r="G609" s="151"/>
      <c r="H609" s="151"/>
      <c r="I609" s="151"/>
      <c r="J609" s="152"/>
      <c r="K609" s="152"/>
      <c r="L609" s="152"/>
      <c r="M609" s="152"/>
      <c r="N609" s="150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</row>
    <row r="610" customFormat="false" ht="11.25" hidden="false" customHeight="true" outlineLevel="0" collapsed="false">
      <c r="A610" s="89"/>
      <c r="B610" s="89"/>
      <c r="C610" s="89"/>
      <c r="D610" s="150"/>
      <c r="E610" s="152"/>
      <c r="F610" s="151"/>
      <c r="G610" s="151"/>
      <c r="H610" s="151"/>
      <c r="I610" s="151"/>
      <c r="J610" s="152"/>
      <c r="K610" s="152"/>
      <c r="L610" s="152"/>
      <c r="M610" s="152"/>
      <c r="N610" s="150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</row>
    <row r="611" customFormat="false" ht="11.25" hidden="false" customHeight="true" outlineLevel="0" collapsed="false">
      <c r="A611" s="89"/>
      <c r="B611" s="89"/>
      <c r="C611" s="89"/>
      <c r="D611" s="150"/>
      <c r="E611" s="152"/>
      <c r="F611" s="151"/>
      <c r="G611" s="151"/>
      <c r="H611" s="151"/>
      <c r="I611" s="151"/>
      <c r="J611" s="152"/>
      <c r="K611" s="152"/>
      <c r="L611" s="152"/>
      <c r="M611" s="152"/>
      <c r="N611" s="150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</row>
    <row r="612" customFormat="false" ht="11.25" hidden="false" customHeight="true" outlineLevel="0" collapsed="false">
      <c r="A612" s="89"/>
      <c r="B612" s="89"/>
      <c r="C612" s="89"/>
      <c r="D612" s="150"/>
      <c r="E612" s="152"/>
      <c r="F612" s="151"/>
      <c r="G612" s="151"/>
      <c r="H612" s="151"/>
      <c r="I612" s="151"/>
      <c r="J612" s="152"/>
      <c r="K612" s="152"/>
      <c r="L612" s="152"/>
      <c r="M612" s="152"/>
      <c r="N612" s="150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</row>
    <row r="613" customFormat="false" ht="11.25" hidden="false" customHeight="true" outlineLevel="0" collapsed="false">
      <c r="A613" s="89"/>
      <c r="B613" s="89"/>
      <c r="C613" s="89"/>
      <c r="D613" s="150"/>
      <c r="E613" s="152"/>
      <c r="F613" s="151"/>
      <c r="G613" s="151"/>
      <c r="H613" s="151"/>
      <c r="I613" s="151"/>
      <c r="J613" s="152"/>
      <c r="K613" s="152"/>
      <c r="L613" s="152"/>
      <c r="M613" s="152"/>
      <c r="N613" s="150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</row>
    <row r="614" customFormat="false" ht="11.25" hidden="false" customHeight="true" outlineLevel="0" collapsed="false">
      <c r="A614" s="89"/>
      <c r="B614" s="89"/>
      <c r="C614" s="89"/>
      <c r="D614" s="150"/>
      <c r="E614" s="152"/>
      <c r="F614" s="151"/>
      <c r="G614" s="151"/>
      <c r="H614" s="151"/>
      <c r="I614" s="151"/>
      <c r="J614" s="152"/>
      <c r="K614" s="152"/>
      <c r="L614" s="152"/>
      <c r="M614" s="152"/>
      <c r="N614" s="150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</row>
    <row r="615" customFormat="false" ht="11.25" hidden="false" customHeight="true" outlineLevel="0" collapsed="false">
      <c r="A615" s="89"/>
      <c r="B615" s="89"/>
      <c r="C615" s="89"/>
      <c r="D615" s="150"/>
      <c r="E615" s="152"/>
      <c r="F615" s="151"/>
      <c r="G615" s="151"/>
      <c r="H615" s="151"/>
      <c r="I615" s="151"/>
      <c r="J615" s="152"/>
      <c r="K615" s="152"/>
      <c r="L615" s="152"/>
      <c r="M615" s="152"/>
      <c r="N615" s="150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</row>
    <row r="616" customFormat="false" ht="11.25" hidden="false" customHeight="true" outlineLevel="0" collapsed="false">
      <c r="A616" s="89"/>
      <c r="B616" s="89"/>
      <c r="C616" s="89"/>
      <c r="D616" s="150"/>
      <c r="E616" s="152"/>
      <c r="F616" s="151"/>
      <c r="G616" s="151"/>
      <c r="H616" s="151"/>
      <c r="I616" s="151"/>
      <c r="J616" s="152"/>
      <c r="K616" s="152"/>
      <c r="L616" s="152"/>
      <c r="M616" s="152"/>
      <c r="N616" s="150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</row>
    <row r="617" customFormat="false" ht="11.25" hidden="false" customHeight="true" outlineLevel="0" collapsed="false">
      <c r="A617" s="89"/>
      <c r="B617" s="89"/>
      <c r="C617" s="89"/>
      <c r="D617" s="150"/>
      <c r="E617" s="152"/>
      <c r="F617" s="151"/>
      <c r="G617" s="151"/>
      <c r="H617" s="151"/>
      <c r="I617" s="151"/>
      <c r="J617" s="152"/>
      <c r="K617" s="152"/>
      <c r="L617" s="152"/>
      <c r="M617" s="152"/>
      <c r="N617" s="150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</row>
    <row r="618" customFormat="false" ht="11.25" hidden="false" customHeight="true" outlineLevel="0" collapsed="false">
      <c r="A618" s="89"/>
      <c r="B618" s="89"/>
      <c r="C618" s="89"/>
      <c r="D618" s="150"/>
      <c r="E618" s="152"/>
      <c r="F618" s="151"/>
      <c r="G618" s="151"/>
      <c r="H618" s="151"/>
      <c r="I618" s="151"/>
      <c r="J618" s="152"/>
      <c r="K618" s="152"/>
      <c r="L618" s="152"/>
      <c r="M618" s="152"/>
      <c r="N618" s="150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</row>
    <row r="619" customFormat="false" ht="11.25" hidden="false" customHeight="true" outlineLevel="0" collapsed="false">
      <c r="A619" s="89"/>
      <c r="B619" s="89"/>
      <c r="C619" s="89"/>
      <c r="D619" s="150"/>
      <c r="E619" s="152"/>
      <c r="F619" s="151"/>
      <c r="G619" s="151"/>
      <c r="H619" s="151"/>
      <c r="I619" s="151"/>
      <c r="J619" s="152"/>
      <c r="K619" s="152"/>
      <c r="L619" s="152"/>
      <c r="M619" s="152"/>
      <c r="N619" s="150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</row>
    <row r="620" customFormat="false" ht="11.25" hidden="false" customHeight="true" outlineLevel="0" collapsed="false">
      <c r="A620" s="89"/>
      <c r="B620" s="89"/>
      <c r="C620" s="89"/>
      <c r="D620" s="150"/>
      <c r="E620" s="152"/>
      <c r="F620" s="151"/>
      <c r="G620" s="151"/>
      <c r="H620" s="151"/>
      <c r="I620" s="151"/>
      <c r="J620" s="152"/>
      <c r="K620" s="152"/>
      <c r="L620" s="152"/>
      <c r="M620" s="152"/>
      <c r="N620" s="150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</row>
    <row r="621" customFormat="false" ht="11.25" hidden="false" customHeight="true" outlineLevel="0" collapsed="false">
      <c r="A621" s="89"/>
      <c r="B621" s="89"/>
      <c r="C621" s="89"/>
      <c r="D621" s="150"/>
      <c r="E621" s="152"/>
      <c r="F621" s="151"/>
      <c r="G621" s="151"/>
      <c r="H621" s="151"/>
      <c r="I621" s="151"/>
      <c r="J621" s="152"/>
      <c r="K621" s="152"/>
      <c r="L621" s="152"/>
      <c r="M621" s="152"/>
      <c r="N621" s="150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</row>
    <row r="622" customFormat="false" ht="11.25" hidden="false" customHeight="true" outlineLevel="0" collapsed="false">
      <c r="A622" s="89"/>
      <c r="B622" s="89"/>
      <c r="C622" s="89"/>
      <c r="D622" s="150"/>
      <c r="E622" s="152"/>
      <c r="F622" s="151"/>
      <c r="G622" s="151"/>
      <c r="H622" s="151"/>
      <c r="I622" s="151"/>
      <c r="J622" s="152"/>
      <c r="K622" s="152"/>
      <c r="L622" s="152"/>
      <c r="M622" s="152"/>
      <c r="N622" s="150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</row>
    <row r="623" customFormat="false" ht="11.25" hidden="false" customHeight="true" outlineLevel="0" collapsed="false">
      <c r="A623" s="89"/>
      <c r="B623" s="89"/>
      <c r="C623" s="89"/>
      <c r="D623" s="150"/>
      <c r="E623" s="152"/>
      <c r="F623" s="151"/>
      <c r="G623" s="151"/>
      <c r="H623" s="151"/>
      <c r="I623" s="151"/>
      <c r="J623" s="152"/>
      <c r="K623" s="152"/>
      <c r="L623" s="152"/>
      <c r="M623" s="152"/>
      <c r="N623" s="150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</row>
    <row r="624" customFormat="false" ht="11.25" hidden="false" customHeight="true" outlineLevel="0" collapsed="false">
      <c r="A624" s="89"/>
      <c r="B624" s="89"/>
      <c r="C624" s="89"/>
      <c r="D624" s="150"/>
      <c r="E624" s="152"/>
      <c r="F624" s="151"/>
      <c r="G624" s="151"/>
      <c r="H624" s="151"/>
      <c r="I624" s="151"/>
      <c r="J624" s="152"/>
      <c r="K624" s="152"/>
      <c r="L624" s="152"/>
      <c r="M624" s="152"/>
      <c r="N624" s="150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</row>
    <row r="625" customFormat="false" ht="11.25" hidden="false" customHeight="true" outlineLevel="0" collapsed="false">
      <c r="A625" s="89"/>
      <c r="B625" s="89"/>
      <c r="C625" s="89"/>
      <c r="D625" s="150"/>
      <c r="E625" s="152"/>
      <c r="F625" s="151"/>
      <c r="G625" s="151"/>
      <c r="H625" s="151"/>
      <c r="I625" s="151"/>
      <c r="J625" s="152"/>
      <c r="K625" s="152"/>
      <c r="L625" s="152"/>
      <c r="M625" s="152"/>
      <c r="N625" s="150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</row>
    <row r="626" customFormat="false" ht="11.25" hidden="false" customHeight="true" outlineLevel="0" collapsed="false">
      <c r="A626" s="89"/>
      <c r="B626" s="89"/>
      <c r="C626" s="89"/>
      <c r="D626" s="150"/>
      <c r="E626" s="152"/>
      <c r="F626" s="151"/>
      <c r="G626" s="151"/>
      <c r="H626" s="151"/>
      <c r="I626" s="151"/>
      <c r="J626" s="152"/>
      <c r="K626" s="152"/>
      <c r="L626" s="152"/>
      <c r="M626" s="152"/>
      <c r="N626" s="150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</row>
    <row r="627" customFormat="false" ht="11.25" hidden="false" customHeight="true" outlineLevel="0" collapsed="false">
      <c r="A627" s="89"/>
      <c r="B627" s="89"/>
      <c r="C627" s="89"/>
      <c r="D627" s="150"/>
      <c r="E627" s="152"/>
      <c r="F627" s="151"/>
      <c r="G627" s="151"/>
      <c r="H627" s="151"/>
      <c r="I627" s="151"/>
      <c r="J627" s="152"/>
      <c r="K627" s="152"/>
      <c r="L627" s="152"/>
      <c r="M627" s="152"/>
      <c r="N627" s="150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</row>
    <row r="628" customFormat="false" ht="11.25" hidden="false" customHeight="true" outlineLevel="0" collapsed="false">
      <c r="A628" s="89"/>
      <c r="B628" s="89"/>
      <c r="C628" s="89"/>
      <c r="D628" s="150"/>
      <c r="E628" s="152"/>
      <c r="F628" s="151"/>
      <c r="G628" s="151"/>
      <c r="H628" s="151"/>
      <c r="I628" s="151"/>
      <c r="J628" s="152"/>
      <c r="K628" s="152"/>
      <c r="L628" s="152"/>
      <c r="M628" s="152"/>
      <c r="N628" s="150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</row>
    <row r="629" customFormat="false" ht="11.25" hidden="false" customHeight="true" outlineLevel="0" collapsed="false">
      <c r="A629" s="89"/>
      <c r="B629" s="89"/>
      <c r="C629" s="89"/>
      <c r="D629" s="150"/>
      <c r="E629" s="152"/>
      <c r="F629" s="151"/>
      <c r="G629" s="151"/>
      <c r="H629" s="151"/>
      <c r="I629" s="151"/>
      <c r="J629" s="152"/>
      <c r="K629" s="152"/>
      <c r="L629" s="152"/>
      <c r="M629" s="152"/>
      <c r="N629" s="150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</row>
    <row r="630" customFormat="false" ht="11.25" hidden="false" customHeight="true" outlineLevel="0" collapsed="false">
      <c r="A630" s="89"/>
      <c r="B630" s="89"/>
      <c r="C630" s="89"/>
      <c r="D630" s="150"/>
      <c r="E630" s="152"/>
      <c r="F630" s="151"/>
      <c r="G630" s="151"/>
      <c r="H630" s="151"/>
      <c r="I630" s="151"/>
      <c r="J630" s="152"/>
      <c r="K630" s="152"/>
      <c r="L630" s="152"/>
      <c r="M630" s="152"/>
      <c r="N630" s="150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</row>
    <row r="631" customFormat="false" ht="11.25" hidden="false" customHeight="true" outlineLevel="0" collapsed="false">
      <c r="A631" s="89"/>
      <c r="B631" s="89"/>
      <c r="C631" s="89"/>
      <c r="D631" s="150"/>
      <c r="E631" s="152"/>
      <c r="F631" s="151"/>
      <c r="G631" s="151"/>
      <c r="H631" s="151"/>
      <c r="I631" s="151"/>
      <c r="J631" s="152"/>
      <c r="K631" s="152"/>
      <c r="L631" s="152"/>
      <c r="M631" s="152"/>
      <c r="N631" s="150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</row>
    <row r="632" customFormat="false" ht="11.25" hidden="false" customHeight="true" outlineLevel="0" collapsed="false">
      <c r="A632" s="89"/>
      <c r="B632" s="89"/>
      <c r="C632" s="89"/>
      <c r="D632" s="150"/>
      <c r="E632" s="152"/>
      <c r="F632" s="151"/>
      <c r="G632" s="151"/>
      <c r="H632" s="151"/>
      <c r="I632" s="151"/>
      <c r="J632" s="152"/>
      <c r="K632" s="152"/>
      <c r="L632" s="152"/>
      <c r="M632" s="152"/>
      <c r="N632" s="150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</row>
    <row r="633" customFormat="false" ht="11.25" hidden="false" customHeight="true" outlineLevel="0" collapsed="false">
      <c r="A633" s="89"/>
      <c r="B633" s="89"/>
      <c r="C633" s="89"/>
      <c r="D633" s="150"/>
      <c r="E633" s="152"/>
      <c r="F633" s="151"/>
      <c r="G633" s="151"/>
      <c r="H633" s="151"/>
      <c r="I633" s="151"/>
      <c r="J633" s="152"/>
      <c r="K633" s="152"/>
      <c r="L633" s="152"/>
      <c r="M633" s="152"/>
      <c r="N633" s="150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</row>
    <row r="634" customFormat="false" ht="11.25" hidden="false" customHeight="true" outlineLevel="0" collapsed="false">
      <c r="A634" s="89"/>
      <c r="B634" s="89"/>
      <c r="C634" s="89"/>
      <c r="D634" s="150"/>
      <c r="E634" s="152"/>
      <c r="F634" s="151"/>
      <c r="G634" s="151"/>
      <c r="H634" s="151"/>
      <c r="I634" s="151"/>
      <c r="J634" s="152"/>
      <c r="K634" s="152"/>
      <c r="L634" s="152"/>
      <c r="M634" s="152"/>
      <c r="N634" s="150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</row>
    <row r="635" customFormat="false" ht="11.25" hidden="false" customHeight="true" outlineLevel="0" collapsed="false">
      <c r="A635" s="89"/>
      <c r="B635" s="89"/>
      <c r="C635" s="89"/>
      <c r="D635" s="150"/>
      <c r="E635" s="152"/>
      <c r="F635" s="151"/>
      <c r="G635" s="151"/>
      <c r="H635" s="151"/>
      <c r="I635" s="151"/>
      <c r="J635" s="152"/>
      <c r="K635" s="152"/>
      <c r="L635" s="152"/>
      <c r="M635" s="152"/>
      <c r="N635" s="150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</row>
    <row r="636" customFormat="false" ht="11.25" hidden="false" customHeight="true" outlineLevel="0" collapsed="false">
      <c r="A636" s="89"/>
      <c r="B636" s="89"/>
      <c r="C636" s="89"/>
      <c r="D636" s="150"/>
      <c r="E636" s="152"/>
      <c r="F636" s="151"/>
      <c r="G636" s="151"/>
      <c r="H636" s="151"/>
      <c r="I636" s="151"/>
      <c r="J636" s="152"/>
      <c r="K636" s="152"/>
      <c r="L636" s="152"/>
      <c r="M636" s="152"/>
      <c r="N636" s="150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</row>
    <row r="637" customFormat="false" ht="11.25" hidden="false" customHeight="true" outlineLevel="0" collapsed="false">
      <c r="A637" s="89"/>
      <c r="B637" s="89"/>
      <c r="C637" s="89"/>
      <c r="D637" s="150"/>
      <c r="E637" s="152"/>
      <c r="F637" s="151"/>
      <c r="G637" s="151"/>
      <c r="H637" s="151"/>
      <c r="I637" s="151"/>
      <c r="J637" s="152"/>
      <c r="K637" s="152"/>
      <c r="L637" s="152"/>
      <c r="M637" s="152"/>
      <c r="N637" s="150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</row>
    <row r="638" customFormat="false" ht="11.25" hidden="false" customHeight="true" outlineLevel="0" collapsed="false">
      <c r="A638" s="89"/>
      <c r="B638" s="89"/>
      <c r="C638" s="89"/>
      <c r="D638" s="150"/>
      <c r="E638" s="152"/>
      <c r="F638" s="151"/>
      <c r="G638" s="151"/>
      <c r="H638" s="151"/>
      <c r="I638" s="151"/>
      <c r="J638" s="152"/>
      <c r="K638" s="152"/>
      <c r="L638" s="152"/>
      <c r="M638" s="152"/>
      <c r="N638" s="150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</row>
    <row r="639" customFormat="false" ht="11.25" hidden="false" customHeight="true" outlineLevel="0" collapsed="false">
      <c r="A639" s="89"/>
      <c r="B639" s="89"/>
      <c r="C639" s="89"/>
      <c r="D639" s="150"/>
      <c r="E639" s="152"/>
      <c r="F639" s="151"/>
      <c r="G639" s="151"/>
      <c r="H639" s="151"/>
      <c r="I639" s="151"/>
      <c r="J639" s="152"/>
      <c r="K639" s="152"/>
      <c r="L639" s="152"/>
      <c r="M639" s="152"/>
      <c r="N639" s="150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</row>
    <row r="640" customFormat="false" ht="11.25" hidden="false" customHeight="true" outlineLevel="0" collapsed="false">
      <c r="A640" s="89"/>
      <c r="B640" s="89"/>
      <c r="C640" s="89"/>
      <c r="D640" s="150"/>
      <c r="E640" s="152"/>
      <c r="F640" s="151"/>
      <c r="G640" s="151"/>
      <c r="H640" s="151"/>
      <c r="I640" s="151"/>
      <c r="J640" s="152"/>
      <c r="K640" s="152"/>
      <c r="L640" s="152"/>
      <c r="M640" s="152"/>
      <c r="N640" s="150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</row>
    <row r="641" customFormat="false" ht="11.25" hidden="false" customHeight="true" outlineLevel="0" collapsed="false">
      <c r="A641" s="89"/>
      <c r="B641" s="89"/>
      <c r="C641" s="89"/>
      <c r="D641" s="150"/>
      <c r="E641" s="152"/>
      <c r="F641" s="151"/>
      <c r="G641" s="151"/>
      <c r="H641" s="151"/>
      <c r="I641" s="151"/>
      <c r="J641" s="152"/>
      <c r="K641" s="152"/>
      <c r="L641" s="152"/>
      <c r="M641" s="152"/>
      <c r="N641" s="150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</row>
    <row r="642" customFormat="false" ht="11.25" hidden="false" customHeight="true" outlineLevel="0" collapsed="false">
      <c r="A642" s="89"/>
      <c r="B642" s="89"/>
      <c r="C642" s="89"/>
      <c r="D642" s="150"/>
      <c r="E642" s="152"/>
      <c r="F642" s="151"/>
      <c r="G642" s="151"/>
      <c r="H642" s="151"/>
      <c r="I642" s="151"/>
      <c r="J642" s="152"/>
      <c r="K642" s="152"/>
      <c r="L642" s="152"/>
      <c r="M642" s="152"/>
      <c r="N642" s="150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</row>
    <row r="643" customFormat="false" ht="11.25" hidden="false" customHeight="true" outlineLevel="0" collapsed="false">
      <c r="A643" s="89"/>
      <c r="B643" s="89"/>
      <c r="C643" s="89"/>
      <c r="D643" s="150"/>
      <c r="E643" s="152"/>
      <c r="F643" s="151"/>
      <c r="G643" s="151"/>
      <c r="H643" s="151"/>
      <c r="I643" s="151"/>
      <c r="J643" s="152"/>
      <c r="K643" s="152"/>
      <c r="L643" s="152"/>
      <c r="M643" s="152"/>
      <c r="N643" s="150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</row>
    <row r="644" customFormat="false" ht="11.25" hidden="false" customHeight="true" outlineLevel="0" collapsed="false">
      <c r="A644" s="89"/>
      <c r="B644" s="89"/>
      <c r="C644" s="89"/>
      <c r="D644" s="150"/>
      <c r="E644" s="152"/>
      <c r="F644" s="151"/>
      <c r="G644" s="151"/>
      <c r="H644" s="151"/>
      <c r="I644" s="151"/>
      <c r="J644" s="152"/>
      <c r="K644" s="152"/>
      <c r="L644" s="152"/>
      <c r="M644" s="152"/>
      <c r="N644" s="150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</row>
    <row r="645" customFormat="false" ht="11.25" hidden="false" customHeight="true" outlineLevel="0" collapsed="false">
      <c r="A645" s="89"/>
      <c r="B645" s="89"/>
      <c r="C645" s="89"/>
      <c r="D645" s="150"/>
      <c r="E645" s="152"/>
      <c r="F645" s="151"/>
      <c r="G645" s="151"/>
      <c r="H645" s="151"/>
      <c r="I645" s="151"/>
      <c r="J645" s="152"/>
      <c r="K645" s="152"/>
      <c r="L645" s="152"/>
      <c r="M645" s="152"/>
      <c r="N645" s="150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</row>
    <row r="646" customFormat="false" ht="11.25" hidden="false" customHeight="true" outlineLevel="0" collapsed="false">
      <c r="A646" s="89"/>
      <c r="B646" s="89"/>
      <c r="C646" s="89"/>
      <c r="D646" s="150"/>
      <c r="E646" s="152"/>
      <c r="F646" s="151"/>
      <c r="G646" s="151"/>
      <c r="H646" s="151"/>
      <c r="I646" s="151"/>
      <c r="J646" s="152"/>
      <c r="K646" s="152"/>
      <c r="L646" s="152"/>
      <c r="M646" s="152"/>
      <c r="N646" s="150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</row>
    <row r="647" customFormat="false" ht="11.25" hidden="false" customHeight="true" outlineLevel="0" collapsed="false">
      <c r="A647" s="89"/>
      <c r="B647" s="89"/>
      <c r="C647" s="89"/>
      <c r="D647" s="150"/>
      <c r="E647" s="152"/>
      <c r="F647" s="151"/>
      <c r="G647" s="151"/>
      <c r="H647" s="151"/>
      <c r="I647" s="151"/>
      <c r="J647" s="152"/>
      <c r="K647" s="152"/>
      <c r="L647" s="152"/>
      <c r="M647" s="152"/>
      <c r="N647" s="150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</row>
    <row r="648" customFormat="false" ht="11.25" hidden="false" customHeight="true" outlineLevel="0" collapsed="false">
      <c r="A648" s="89"/>
      <c r="B648" s="89"/>
      <c r="C648" s="89"/>
      <c r="D648" s="150"/>
      <c r="E648" s="152"/>
      <c r="F648" s="151"/>
      <c r="G648" s="151"/>
      <c r="H648" s="151"/>
      <c r="I648" s="151"/>
      <c r="J648" s="152"/>
      <c r="K648" s="152"/>
      <c r="L648" s="152"/>
      <c r="M648" s="152"/>
      <c r="N648" s="150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</row>
    <row r="649" customFormat="false" ht="11.25" hidden="false" customHeight="true" outlineLevel="0" collapsed="false">
      <c r="A649" s="89"/>
      <c r="B649" s="89"/>
      <c r="C649" s="89"/>
      <c r="D649" s="150"/>
      <c r="E649" s="152"/>
      <c r="F649" s="151"/>
      <c r="G649" s="151"/>
      <c r="H649" s="151"/>
      <c r="I649" s="151"/>
      <c r="J649" s="152"/>
      <c r="K649" s="152"/>
      <c r="L649" s="152"/>
      <c r="M649" s="152"/>
      <c r="N649" s="150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</row>
    <row r="650" customFormat="false" ht="11.25" hidden="false" customHeight="true" outlineLevel="0" collapsed="false">
      <c r="A650" s="89"/>
      <c r="B650" s="89"/>
      <c r="C650" s="89"/>
      <c r="D650" s="150"/>
      <c r="E650" s="152"/>
      <c r="F650" s="151"/>
      <c r="G650" s="151"/>
      <c r="H650" s="151"/>
      <c r="I650" s="151"/>
      <c r="J650" s="152"/>
      <c r="K650" s="152"/>
      <c r="L650" s="152"/>
      <c r="M650" s="152"/>
      <c r="N650" s="150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</row>
    <row r="651" customFormat="false" ht="11.25" hidden="false" customHeight="true" outlineLevel="0" collapsed="false">
      <c r="A651" s="89"/>
      <c r="B651" s="89"/>
      <c r="C651" s="89"/>
      <c r="D651" s="150"/>
      <c r="E651" s="152"/>
      <c r="F651" s="151"/>
      <c r="G651" s="151"/>
      <c r="H651" s="151"/>
      <c r="I651" s="151"/>
      <c r="J651" s="152"/>
      <c r="K651" s="152"/>
      <c r="L651" s="152"/>
      <c r="M651" s="152"/>
      <c r="N651" s="150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</row>
    <row r="652" customFormat="false" ht="11.25" hidden="false" customHeight="true" outlineLevel="0" collapsed="false">
      <c r="A652" s="89"/>
      <c r="B652" s="89"/>
      <c r="C652" s="89"/>
      <c r="D652" s="150"/>
      <c r="E652" s="152"/>
      <c r="F652" s="151"/>
      <c r="G652" s="151"/>
      <c r="H652" s="151"/>
      <c r="I652" s="151"/>
      <c r="J652" s="152"/>
      <c r="K652" s="152"/>
      <c r="L652" s="152"/>
      <c r="M652" s="152"/>
      <c r="N652" s="150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</row>
    <row r="653" customFormat="false" ht="11.25" hidden="false" customHeight="true" outlineLevel="0" collapsed="false">
      <c r="A653" s="89"/>
      <c r="B653" s="89"/>
      <c r="C653" s="89"/>
      <c r="D653" s="150"/>
      <c r="E653" s="152"/>
      <c r="F653" s="151"/>
      <c r="G653" s="151"/>
      <c r="H653" s="151"/>
      <c r="I653" s="151"/>
      <c r="J653" s="152"/>
      <c r="K653" s="152"/>
      <c r="L653" s="152"/>
      <c r="M653" s="152"/>
      <c r="N653" s="150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</row>
    <row r="654" customFormat="false" ht="11.25" hidden="false" customHeight="true" outlineLevel="0" collapsed="false">
      <c r="A654" s="89"/>
      <c r="B654" s="89"/>
      <c r="C654" s="89"/>
      <c r="D654" s="150"/>
      <c r="E654" s="152"/>
      <c r="F654" s="151"/>
      <c r="G654" s="151"/>
      <c r="H654" s="151"/>
      <c r="I654" s="151"/>
      <c r="J654" s="152"/>
      <c r="K654" s="152"/>
      <c r="L654" s="152"/>
      <c r="M654" s="152"/>
      <c r="N654" s="150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</row>
    <row r="655" customFormat="false" ht="11.25" hidden="false" customHeight="true" outlineLevel="0" collapsed="false">
      <c r="A655" s="89"/>
      <c r="B655" s="89"/>
      <c r="C655" s="89"/>
      <c r="D655" s="150"/>
      <c r="E655" s="152"/>
      <c r="F655" s="151"/>
      <c r="G655" s="151"/>
      <c r="H655" s="151"/>
      <c r="I655" s="151"/>
      <c r="J655" s="152"/>
      <c r="K655" s="152"/>
      <c r="L655" s="152"/>
      <c r="M655" s="152"/>
      <c r="N655" s="150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</row>
    <row r="656" customFormat="false" ht="11.25" hidden="false" customHeight="true" outlineLevel="0" collapsed="false">
      <c r="A656" s="89"/>
      <c r="B656" s="89"/>
      <c r="C656" s="89"/>
      <c r="D656" s="150"/>
      <c r="E656" s="152"/>
      <c r="F656" s="151"/>
      <c r="G656" s="151"/>
      <c r="H656" s="151"/>
      <c r="I656" s="151"/>
      <c r="J656" s="152"/>
      <c r="K656" s="152"/>
      <c r="L656" s="152"/>
      <c r="M656" s="152"/>
      <c r="N656" s="150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</row>
    <row r="657" customFormat="false" ht="11.25" hidden="false" customHeight="true" outlineLevel="0" collapsed="false">
      <c r="A657" s="89"/>
      <c r="B657" s="89"/>
      <c r="C657" s="89"/>
      <c r="D657" s="150"/>
      <c r="E657" s="152"/>
      <c r="F657" s="151"/>
      <c r="G657" s="151"/>
      <c r="H657" s="151"/>
      <c r="I657" s="151"/>
      <c r="J657" s="152"/>
      <c r="K657" s="152"/>
      <c r="L657" s="152"/>
      <c r="M657" s="152"/>
      <c r="N657" s="150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</row>
    <row r="658" customFormat="false" ht="11.25" hidden="false" customHeight="true" outlineLevel="0" collapsed="false">
      <c r="A658" s="89"/>
      <c r="B658" s="89"/>
      <c r="C658" s="89"/>
      <c r="D658" s="150"/>
      <c r="E658" s="152"/>
      <c r="F658" s="151"/>
      <c r="G658" s="151"/>
      <c r="H658" s="151"/>
      <c r="I658" s="151"/>
      <c r="J658" s="152"/>
      <c r="K658" s="152"/>
      <c r="L658" s="152"/>
      <c r="M658" s="152"/>
      <c r="N658" s="150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</row>
    <row r="659" customFormat="false" ht="11.25" hidden="false" customHeight="true" outlineLevel="0" collapsed="false">
      <c r="A659" s="89"/>
      <c r="B659" s="89"/>
      <c r="C659" s="89"/>
      <c r="D659" s="150"/>
      <c r="E659" s="152"/>
      <c r="F659" s="151"/>
      <c r="G659" s="151"/>
      <c r="H659" s="151"/>
      <c r="I659" s="151"/>
      <c r="J659" s="152"/>
      <c r="K659" s="152"/>
      <c r="L659" s="152"/>
      <c r="M659" s="152"/>
      <c r="N659" s="150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</row>
    <row r="660" customFormat="false" ht="11.25" hidden="false" customHeight="true" outlineLevel="0" collapsed="false">
      <c r="A660" s="89"/>
      <c r="B660" s="89"/>
      <c r="C660" s="89"/>
      <c r="D660" s="150"/>
      <c r="E660" s="152"/>
      <c r="F660" s="151"/>
      <c r="G660" s="151"/>
      <c r="H660" s="151"/>
      <c r="I660" s="151"/>
      <c r="J660" s="152"/>
      <c r="K660" s="152"/>
      <c r="L660" s="152"/>
      <c r="M660" s="152"/>
      <c r="N660" s="150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</row>
    <row r="661" customFormat="false" ht="11.25" hidden="false" customHeight="true" outlineLevel="0" collapsed="false">
      <c r="A661" s="89"/>
      <c r="B661" s="89"/>
      <c r="C661" s="89"/>
      <c r="D661" s="150"/>
      <c r="E661" s="152"/>
      <c r="F661" s="151"/>
      <c r="G661" s="151"/>
      <c r="H661" s="151"/>
      <c r="I661" s="151"/>
      <c r="J661" s="152"/>
      <c r="K661" s="152"/>
      <c r="L661" s="152"/>
      <c r="M661" s="152"/>
      <c r="N661" s="150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</row>
    <row r="662" customFormat="false" ht="11.25" hidden="false" customHeight="true" outlineLevel="0" collapsed="false">
      <c r="A662" s="89"/>
      <c r="B662" s="89"/>
      <c r="C662" s="89"/>
      <c r="D662" s="150"/>
      <c r="E662" s="152"/>
      <c r="F662" s="151"/>
      <c r="G662" s="151"/>
      <c r="H662" s="151"/>
      <c r="I662" s="151"/>
      <c r="J662" s="152"/>
      <c r="K662" s="152"/>
      <c r="L662" s="152"/>
      <c r="M662" s="152"/>
      <c r="N662" s="150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</row>
    <row r="663" customFormat="false" ht="11.25" hidden="false" customHeight="true" outlineLevel="0" collapsed="false">
      <c r="A663" s="89"/>
      <c r="B663" s="89"/>
      <c r="C663" s="89"/>
      <c r="D663" s="150"/>
      <c r="E663" s="152"/>
      <c r="F663" s="151"/>
      <c r="G663" s="151"/>
      <c r="H663" s="151"/>
      <c r="I663" s="151"/>
      <c r="J663" s="152"/>
      <c r="K663" s="152"/>
      <c r="L663" s="152"/>
      <c r="M663" s="152"/>
      <c r="N663" s="150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</row>
    <row r="664" customFormat="false" ht="11.25" hidden="false" customHeight="true" outlineLevel="0" collapsed="false">
      <c r="A664" s="89"/>
      <c r="B664" s="89"/>
      <c r="C664" s="89"/>
      <c r="D664" s="150"/>
      <c r="E664" s="152"/>
      <c r="F664" s="151"/>
      <c r="G664" s="151"/>
      <c r="H664" s="151"/>
      <c r="I664" s="151"/>
      <c r="J664" s="152"/>
      <c r="K664" s="152"/>
      <c r="L664" s="152"/>
      <c r="M664" s="152"/>
      <c r="N664" s="150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</row>
    <row r="665" customFormat="false" ht="11.25" hidden="false" customHeight="true" outlineLevel="0" collapsed="false">
      <c r="A665" s="89"/>
      <c r="B665" s="89"/>
      <c r="C665" s="89"/>
      <c r="D665" s="150"/>
      <c r="E665" s="152"/>
      <c r="F665" s="151"/>
      <c r="G665" s="151"/>
      <c r="H665" s="151"/>
      <c r="I665" s="151"/>
      <c r="J665" s="152"/>
      <c r="K665" s="152"/>
      <c r="L665" s="152"/>
      <c r="M665" s="152"/>
      <c r="N665" s="150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</row>
    <row r="666" customFormat="false" ht="11.25" hidden="false" customHeight="true" outlineLevel="0" collapsed="false">
      <c r="A666" s="89"/>
      <c r="B666" s="89"/>
      <c r="C666" s="89"/>
      <c r="D666" s="150"/>
      <c r="E666" s="152"/>
      <c r="F666" s="151"/>
      <c r="G666" s="151"/>
      <c r="H666" s="151"/>
      <c r="I666" s="151"/>
      <c r="J666" s="152"/>
      <c r="K666" s="152"/>
      <c r="L666" s="152"/>
      <c r="M666" s="152"/>
      <c r="N666" s="150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</row>
    <row r="667" customFormat="false" ht="11.25" hidden="false" customHeight="true" outlineLevel="0" collapsed="false">
      <c r="A667" s="89"/>
      <c r="B667" s="89"/>
      <c r="C667" s="89"/>
      <c r="D667" s="150"/>
      <c r="E667" s="152"/>
      <c r="F667" s="151"/>
      <c r="G667" s="151"/>
      <c r="H667" s="151"/>
      <c r="I667" s="151"/>
      <c r="J667" s="152"/>
      <c r="K667" s="152"/>
      <c r="L667" s="152"/>
      <c r="M667" s="152"/>
      <c r="N667" s="150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</row>
    <row r="668" customFormat="false" ht="11.25" hidden="false" customHeight="true" outlineLevel="0" collapsed="false">
      <c r="A668" s="89"/>
      <c r="B668" s="89"/>
      <c r="C668" s="89"/>
      <c r="D668" s="150"/>
      <c r="E668" s="152"/>
      <c r="F668" s="151"/>
      <c r="G668" s="151"/>
      <c r="H668" s="151"/>
      <c r="I668" s="151"/>
      <c r="J668" s="152"/>
      <c r="K668" s="152"/>
      <c r="L668" s="152"/>
      <c r="M668" s="152"/>
      <c r="N668" s="150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</row>
    <row r="669" customFormat="false" ht="11.25" hidden="false" customHeight="true" outlineLevel="0" collapsed="false">
      <c r="A669" s="89"/>
      <c r="B669" s="89"/>
      <c r="C669" s="89"/>
      <c r="D669" s="150"/>
      <c r="E669" s="152"/>
      <c r="F669" s="151"/>
      <c r="G669" s="151"/>
      <c r="H669" s="151"/>
      <c r="I669" s="151"/>
      <c r="J669" s="152"/>
      <c r="K669" s="152"/>
      <c r="L669" s="152"/>
      <c r="M669" s="152"/>
      <c r="N669" s="150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</row>
    <row r="670" customFormat="false" ht="11.25" hidden="false" customHeight="true" outlineLevel="0" collapsed="false">
      <c r="A670" s="89"/>
      <c r="B670" s="89"/>
      <c r="C670" s="89"/>
      <c r="D670" s="150"/>
      <c r="E670" s="152"/>
      <c r="F670" s="151"/>
      <c r="G670" s="151"/>
      <c r="H670" s="151"/>
      <c r="I670" s="151"/>
      <c r="J670" s="152"/>
      <c r="K670" s="152"/>
      <c r="L670" s="152"/>
      <c r="M670" s="152"/>
      <c r="N670" s="150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</row>
    <row r="671" customFormat="false" ht="11.25" hidden="false" customHeight="true" outlineLevel="0" collapsed="false">
      <c r="A671" s="89"/>
      <c r="B671" s="89"/>
      <c r="C671" s="89"/>
      <c r="D671" s="150"/>
      <c r="E671" s="152"/>
      <c r="F671" s="151"/>
      <c r="G671" s="151"/>
      <c r="H671" s="151"/>
      <c r="I671" s="151"/>
      <c r="J671" s="152"/>
      <c r="K671" s="152"/>
      <c r="L671" s="152"/>
      <c r="M671" s="152"/>
      <c r="N671" s="150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</row>
    <row r="672" customFormat="false" ht="11.25" hidden="false" customHeight="true" outlineLevel="0" collapsed="false">
      <c r="A672" s="89"/>
      <c r="B672" s="89"/>
      <c r="C672" s="89"/>
      <c r="D672" s="150"/>
      <c r="E672" s="152"/>
      <c r="F672" s="151"/>
      <c r="G672" s="151"/>
      <c r="H672" s="151"/>
      <c r="I672" s="151"/>
      <c r="J672" s="152"/>
      <c r="K672" s="152"/>
      <c r="L672" s="152"/>
      <c r="M672" s="152"/>
      <c r="N672" s="150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</row>
    <row r="673" customFormat="false" ht="11.25" hidden="false" customHeight="true" outlineLevel="0" collapsed="false">
      <c r="A673" s="89"/>
      <c r="B673" s="89"/>
      <c r="C673" s="89"/>
      <c r="D673" s="150"/>
      <c r="E673" s="152"/>
      <c r="F673" s="151"/>
      <c r="G673" s="151"/>
      <c r="H673" s="151"/>
      <c r="I673" s="151"/>
      <c r="J673" s="152"/>
      <c r="K673" s="152"/>
      <c r="L673" s="152"/>
      <c r="M673" s="152"/>
      <c r="N673" s="150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</row>
    <row r="674" customFormat="false" ht="11.25" hidden="false" customHeight="true" outlineLevel="0" collapsed="false">
      <c r="A674" s="89"/>
      <c r="B674" s="89"/>
      <c r="C674" s="89"/>
      <c r="D674" s="150"/>
      <c r="E674" s="152"/>
      <c r="F674" s="151"/>
      <c r="G674" s="151"/>
      <c r="H674" s="151"/>
      <c r="I674" s="151"/>
      <c r="J674" s="152"/>
      <c r="K674" s="152"/>
      <c r="L674" s="152"/>
      <c r="M674" s="152"/>
      <c r="N674" s="150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</row>
    <row r="675" customFormat="false" ht="11.25" hidden="false" customHeight="true" outlineLevel="0" collapsed="false">
      <c r="A675" s="89"/>
      <c r="B675" s="89"/>
      <c r="C675" s="89"/>
      <c r="D675" s="150"/>
      <c r="E675" s="152"/>
      <c r="F675" s="151"/>
      <c r="G675" s="151"/>
      <c r="H675" s="151"/>
      <c r="I675" s="151"/>
      <c r="J675" s="152"/>
      <c r="K675" s="152"/>
      <c r="L675" s="152"/>
      <c r="M675" s="152"/>
      <c r="N675" s="150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</row>
    <row r="676" customFormat="false" ht="11.25" hidden="false" customHeight="true" outlineLevel="0" collapsed="false">
      <c r="A676" s="89"/>
      <c r="B676" s="89"/>
      <c r="C676" s="89"/>
      <c r="D676" s="150"/>
      <c r="E676" s="152"/>
      <c r="F676" s="151"/>
      <c r="G676" s="151"/>
      <c r="H676" s="151"/>
      <c r="I676" s="151"/>
      <c r="J676" s="152"/>
      <c r="K676" s="152"/>
      <c r="L676" s="152"/>
      <c r="M676" s="152"/>
      <c r="N676" s="150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</row>
    <row r="677" customFormat="false" ht="11.25" hidden="false" customHeight="true" outlineLevel="0" collapsed="false">
      <c r="A677" s="89"/>
      <c r="B677" s="89"/>
      <c r="C677" s="89"/>
      <c r="D677" s="150"/>
      <c r="E677" s="152"/>
      <c r="F677" s="151"/>
      <c r="G677" s="151"/>
      <c r="H677" s="151"/>
      <c r="I677" s="151"/>
      <c r="J677" s="152"/>
      <c r="K677" s="152"/>
      <c r="L677" s="152"/>
      <c r="M677" s="152"/>
      <c r="N677" s="150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</row>
    <row r="678" customFormat="false" ht="11.25" hidden="false" customHeight="true" outlineLevel="0" collapsed="false">
      <c r="A678" s="89"/>
      <c r="B678" s="89"/>
      <c r="C678" s="89"/>
      <c r="D678" s="150"/>
      <c r="E678" s="152"/>
      <c r="F678" s="151"/>
      <c r="G678" s="151"/>
      <c r="H678" s="151"/>
      <c r="I678" s="151"/>
      <c r="J678" s="152"/>
      <c r="K678" s="152"/>
      <c r="L678" s="152"/>
      <c r="M678" s="152"/>
      <c r="N678" s="150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</row>
    <row r="679" customFormat="false" ht="11.25" hidden="false" customHeight="true" outlineLevel="0" collapsed="false">
      <c r="A679" s="89"/>
      <c r="B679" s="89"/>
      <c r="C679" s="89"/>
      <c r="D679" s="150"/>
      <c r="E679" s="152"/>
      <c r="F679" s="151"/>
      <c r="G679" s="151"/>
      <c r="H679" s="151"/>
      <c r="I679" s="151"/>
      <c r="J679" s="152"/>
      <c r="K679" s="152"/>
      <c r="L679" s="152"/>
      <c r="M679" s="152"/>
      <c r="N679" s="150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</row>
    <row r="680" customFormat="false" ht="11.25" hidden="false" customHeight="true" outlineLevel="0" collapsed="false">
      <c r="A680" s="89"/>
      <c r="B680" s="89"/>
      <c r="C680" s="89"/>
      <c r="D680" s="150"/>
      <c r="E680" s="152"/>
      <c r="F680" s="151"/>
      <c r="G680" s="151"/>
      <c r="H680" s="151"/>
      <c r="I680" s="151"/>
      <c r="J680" s="152"/>
      <c r="K680" s="152"/>
      <c r="L680" s="152"/>
      <c r="M680" s="152"/>
      <c r="N680" s="150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</row>
    <row r="681" customFormat="false" ht="11.25" hidden="false" customHeight="true" outlineLevel="0" collapsed="false">
      <c r="A681" s="89"/>
      <c r="B681" s="89"/>
      <c r="C681" s="89"/>
      <c r="D681" s="150"/>
      <c r="E681" s="152"/>
      <c r="F681" s="151"/>
      <c r="G681" s="151"/>
      <c r="H681" s="151"/>
      <c r="I681" s="151"/>
      <c r="J681" s="152"/>
      <c r="K681" s="152"/>
      <c r="L681" s="152"/>
      <c r="M681" s="152"/>
      <c r="N681" s="150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</row>
    <row r="682" customFormat="false" ht="11.25" hidden="false" customHeight="true" outlineLevel="0" collapsed="false">
      <c r="A682" s="89"/>
      <c r="B682" s="89"/>
      <c r="C682" s="89"/>
      <c r="D682" s="150"/>
      <c r="E682" s="152"/>
      <c r="F682" s="151"/>
      <c r="G682" s="151"/>
      <c r="H682" s="151"/>
      <c r="I682" s="151"/>
      <c r="J682" s="152"/>
      <c r="K682" s="152"/>
      <c r="L682" s="152"/>
      <c r="M682" s="152"/>
      <c r="N682" s="150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</row>
    <row r="683" customFormat="false" ht="11.25" hidden="false" customHeight="true" outlineLevel="0" collapsed="false">
      <c r="A683" s="89"/>
      <c r="B683" s="89"/>
      <c r="C683" s="89"/>
      <c r="D683" s="150"/>
      <c r="E683" s="152"/>
      <c r="F683" s="151"/>
      <c r="G683" s="151"/>
      <c r="H683" s="151"/>
      <c r="I683" s="151"/>
      <c r="J683" s="152"/>
      <c r="K683" s="152"/>
      <c r="L683" s="152"/>
      <c r="M683" s="152"/>
      <c r="N683" s="150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</row>
    <row r="684" customFormat="false" ht="11.25" hidden="false" customHeight="true" outlineLevel="0" collapsed="false">
      <c r="A684" s="89"/>
      <c r="B684" s="89"/>
      <c r="C684" s="89"/>
      <c r="D684" s="150"/>
      <c r="E684" s="152"/>
      <c r="F684" s="151"/>
      <c r="G684" s="151"/>
      <c r="H684" s="151"/>
      <c r="I684" s="151"/>
      <c r="J684" s="152"/>
      <c r="K684" s="152"/>
      <c r="L684" s="152"/>
      <c r="M684" s="152"/>
      <c r="N684" s="150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</row>
    <row r="685" customFormat="false" ht="11.25" hidden="false" customHeight="true" outlineLevel="0" collapsed="false">
      <c r="A685" s="89"/>
      <c r="B685" s="89"/>
      <c r="C685" s="89"/>
      <c r="D685" s="150"/>
      <c r="E685" s="152"/>
      <c r="F685" s="151"/>
      <c r="G685" s="151"/>
      <c r="H685" s="151"/>
      <c r="I685" s="151"/>
      <c r="J685" s="152"/>
      <c r="K685" s="152"/>
      <c r="L685" s="152"/>
      <c r="M685" s="152"/>
      <c r="N685" s="150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</row>
    <row r="686" customFormat="false" ht="11.25" hidden="false" customHeight="true" outlineLevel="0" collapsed="false">
      <c r="A686" s="89"/>
      <c r="B686" s="89"/>
      <c r="C686" s="89"/>
      <c r="D686" s="150"/>
      <c r="E686" s="152"/>
      <c r="F686" s="151"/>
      <c r="G686" s="151"/>
      <c r="H686" s="151"/>
      <c r="I686" s="151"/>
      <c r="J686" s="152"/>
      <c r="K686" s="152"/>
      <c r="L686" s="152"/>
      <c r="M686" s="152"/>
      <c r="N686" s="150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</row>
    <row r="687" customFormat="false" ht="11.25" hidden="false" customHeight="true" outlineLevel="0" collapsed="false">
      <c r="A687" s="89"/>
      <c r="B687" s="89"/>
      <c r="C687" s="89"/>
      <c r="D687" s="150"/>
      <c r="E687" s="152"/>
      <c r="F687" s="151"/>
      <c r="G687" s="151"/>
      <c r="H687" s="151"/>
      <c r="I687" s="151"/>
      <c r="J687" s="152"/>
      <c r="K687" s="152"/>
      <c r="L687" s="152"/>
      <c r="M687" s="152"/>
      <c r="N687" s="150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</row>
    <row r="688" customFormat="false" ht="11.25" hidden="false" customHeight="true" outlineLevel="0" collapsed="false">
      <c r="A688" s="89"/>
      <c r="B688" s="89"/>
      <c r="C688" s="89"/>
      <c r="D688" s="150"/>
      <c r="E688" s="152"/>
      <c r="F688" s="151"/>
      <c r="G688" s="151"/>
      <c r="H688" s="151"/>
      <c r="I688" s="151"/>
      <c r="J688" s="152"/>
      <c r="K688" s="152"/>
      <c r="L688" s="152"/>
      <c r="M688" s="152"/>
      <c r="N688" s="150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</row>
    <row r="689" customFormat="false" ht="11.25" hidden="false" customHeight="true" outlineLevel="0" collapsed="false">
      <c r="A689" s="89"/>
      <c r="B689" s="89"/>
      <c r="C689" s="89"/>
      <c r="D689" s="150"/>
      <c r="E689" s="152"/>
      <c r="F689" s="151"/>
      <c r="G689" s="151"/>
      <c r="H689" s="151"/>
      <c r="I689" s="151"/>
      <c r="J689" s="152"/>
      <c r="K689" s="152"/>
      <c r="L689" s="152"/>
      <c r="M689" s="152"/>
      <c r="N689" s="150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</row>
    <row r="690" customFormat="false" ht="11.25" hidden="false" customHeight="true" outlineLevel="0" collapsed="false">
      <c r="A690" s="89"/>
      <c r="B690" s="89"/>
      <c r="C690" s="89"/>
      <c r="D690" s="150"/>
      <c r="E690" s="152"/>
      <c r="F690" s="151"/>
      <c r="G690" s="151"/>
      <c r="H690" s="151"/>
      <c r="I690" s="151"/>
      <c r="J690" s="152"/>
      <c r="K690" s="152"/>
      <c r="L690" s="152"/>
      <c r="M690" s="152"/>
      <c r="N690" s="150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</row>
    <row r="691" customFormat="false" ht="11.25" hidden="false" customHeight="true" outlineLevel="0" collapsed="false">
      <c r="A691" s="89"/>
      <c r="B691" s="89"/>
      <c r="C691" s="89"/>
      <c r="D691" s="150"/>
      <c r="E691" s="152"/>
      <c r="F691" s="151"/>
      <c r="G691" s="151"/>
      <c r="H691" s="151"/>
      <c r="I691" s="151"/>
      <c r="J691" s="152"/>
      <c r="K691" s="152"/>
      <c r="L691" s="152"/>
      <c r="M691" s="152"/>
      <c r="N691" s="150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</row>
    <row r="692" customFormat="false" ht="11.25" hidden="false" customHeight="true" outlineLevel="0" collapsed="false">
      <c r="A692" s="89"/>
      <c r="B692" s="89"/>
      <c r="C692" s="89"/>
      <c r="D692" s="150"/>
      <c r="E692" s="152"/>
      <c r="F692" s="151"/>
      <c r="G692" s="151"/>
      <c r="H692" s="151"/>
      <c r="I692" s="151"/>
      <c r="J692" s="152"/>
      <c r="K692" s="152"/>
      <c r="L692" s="152"/>
      <c r="M692" s="152"/>
      <c r="N692" s="150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</row>
    <row r="693" customFormat="false" ht="11.25" hidden="false" customHeight="true" outlineLevel="0" collapsed="false">
      <c r="A693" s="89"/>
      <c r="B693" s="89"/>
      <c r="C693" s="89"/>
      <c r="D693" s="150"/>
      <c r="E693" s="152"/>
      <c r="F693" s="151"/>
      <c r="G693" s="151"/>
      <c r="H693" s="151"/>
      <c r="I693" s="151"/>
      <c r="J693" s="152"/>
      <c r="K693" s="152"/>
      <c r="L693" s="152"/>
      <c r="M693" s="152"/>
      <c r="N693" s="150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</row>
    <row r="694" customFormat="false" ht="11.25" hidden="false" customHeight="true" outlineLevel="0" collapsed="false">
      <c r="A694" s="89"/>
      <c r="B694" s="89"/>
      <c r="C694" s="89"/>
      <c r="D694" s="150"/>
      <c r="E694" s="152"/>
      <c r="F694" s="151"/>
      <c r="G694" s="151"/>
      <c r="H694" s="151"/>
      <c r="I694" s="151"/>
      <c r="J694" s="152"/>
      <c r="K694" s="152"/>
      <c r="L694" s="152"/>
      <c r="M694" s="152"/>
      <c r="N694" s="150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</row>
    <row r="695" customFormat="false" ht="11.25" hidden="false" customHeight="true" outlineLevel="0" collapsed="false">
      <c r="A695" s="89"/>
      <c r="B695" s="89"/>
      <c r="C695" s="89"/>
      <c r="D695" s="150"/>
      <c r="E695" s="152"/>
      <c r="F695" s="151"/>
      <c r="G695" s="151"/>
      <c r="H695" s="151"/>
      <c r="I695" s="151"/>
      <c r="J695" s="152"/>
      <c r="K695" s="152"/>
      <c r="L695" s="152"/>
      <c r="M695" s="152"/>
      <c r="N695" s="150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</row>
    <row r="696" customFormat="false" ht="11.25" hidden="false" customHeight="true" outlineLevel="0" collapsed="false">
      <c r="A696" s="89"/>
      <c r="B696" s="89"/>
      <c r="C696" s="89"/>
      <c r="D696" s="150"/>
      <c r="E696" s="152"/>
      <c r="F696" s="151"/>
      <c r="G696" s="151"/>
      <c r="H696" s="151"/>
      <c r="I696" s="151"/>
      <c r="J696" s="152"/>
      <c r="K696" s="152"/>
      <c r="L696" s="152"/>
      <c r="M696" s="152"/>
      <c r="N696" s="150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</row>
    <row r="697" customFormat="false" ht="11.25" hidden="false" customHeight="true" outlineLevel="0" collapsed="false">
      <c r="A697" s="89"/>
      <c r="B697" s="89"/>
      <c r="C697" s="89"/>
      <c r="D697" s="150"/>
      <c r="E697" s="152"/>
      <c r="F697" s="151"/>
      <c r="G697" s="151"/>
      <c r="H697" s="151"/>
      <c r="I697" s="151"/>
      <c r="J697" s="152"/>
      <c r="K697" s="152"/>
      <c r="L697" s="152"/>
      <c r="M697" s="152"/>
      <c r="N697" s="150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</row>
    <row r="698" customFormat="false" ht="11.25" hidden="false" customHeight="true" outlineLevel="0" collapsed="false">
      <c r="A698" s="89"/>
      <c r="B698" s="89"/>
      <c r="C698" s="89"/>
      <c r="D698" s="150"/>
      <c r="E698" s="152"/>
      <c r="F698" s="151"/>
      <c r="G698" s="151"/>
      <c r="H698" s="151"/>
      <c r="I698" s="151"/>
      <c r="J698" s="152"/>
      <c r="K698" s="152"/>
      <c r="L698" s="152"/>
      <c r="M698" s="152"/>
      <c r="N698" s="150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</row>
    <row r="699" customFormat="false" ht="11.25" hidden="false" customHeight="true" outlineLevel="0" collapsed="false">
      <c r="A699" s="89"/>
      <c r="B699" s="89"/>
      <c r="C699" s="89"/>
      <c r="D699" s="150"/>
      <c r="E699" s="152"/>
      <c r="F699" s="151"/>
      <c r="G699" s="151"/>
      <c r="H699" s="151"/>
      <c r="I699" s="151"/>
      <c r="J699" s="152"/>
      <c r="K699" s="152"/>
      <c r="L699" s="152"/>
      <c r="M699" s="152"/>
      <c r="N699" s="150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</row>
    <row r="700" customFormat="false" ht="11.25" hidden="false" customHeight="true" outlineLevel="0" collapsed="false">
      <c r="A700" s="89"/>
      <c r="B700" s="89"/>
      <c r="C700" s="89"/>
      <c r="D700" s="150"/>
      <c r="E700" s="152"/>
      <c r="F700" s="151"/>
      <c r="G700" s="151"/>
      <c r="H700" s="151"/>
      <c r="I700" s="151"/>
      <c r="J700" s="152"/>
      <c r="K700" s="152"/>
      <c r="L700" s="152"/>
      <c r="M700" s="152"/>
      <c r="N700" s="150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</row>
    <row r="701" customFormat="false" ht="11.25" hidden="false" customHeight="true" outlineLevel="0" collapsed="false">
      <c r="A701" s="89"/>
      <c r="B701" s="89"/>
      <c r="C701" s="89"/>
      <c r="D701" s="150"/>
      <c r="E701" s="152"/>
      <c r="F701" s="151"/>
      <c r="G701" s="151"/>
      <c r="H701" s="151"/>
      <c r="I701" s="151"/>
      <c r="J701" s="152"/>
      <c r="K701" s="152"/>
      <c r="L701" s="152"/>
      <c r="M701" s="152"/>
      <c r="N701" s="150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</row>
    <row r="702" customFormat="false" ht="11.25" hidden="false" customHeight="true" outlineLevel="0" collapsed="false">
      <c r="A702" s="89"/>
      <c r="B702" s="89"/>
      <c r="C702" s="89"/>
      <c r="D702" s="150"/>
      <c r="E702" s="152"/>
      <c r="F702" s="151"/>
      <c r="G702" s="151"/>
      <c r="H702" s="151"/>
      <c r="I702" s="151"/>
      <c r="J702" s="152"/>
      <c r="K702" s="152"/>
      <c r="L702" s="152"/>
      <c r="M702" s="152"/>
      <c r="N702" s="150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</row>
    <row r="703" customFormat="false" ht="11.25" hidden="false" customHeight="true" outlineLevel="0" collapsed="false">
      <c r="A703" s="89"/>
      <c r="B703" s="89"/>
      <c r="C703" s="89"/>
      <c r="D703" s="150"/>
      <c r="E703" s="152"/>
      <c r="F703" s="151"/>
      <c r="G703" s="151"/>
      <c r="H703" s="151"/>
      <c r="I703" s="151"/>
      <c r="J703" s="152"/>
      <c r="K703" s="152"/>
      <c r="L703" s="152"/>
      <c r="M703" s="152"/>
      <c r="N703" s="150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</row>
    <row r="704" customFormat="false" ht="11.25" hidden="false" customHeight="true" outlineLevel="0" collapsed="false">
      <c r="A704" s="89"/>
      <c r="B704" s="89"/>
      <c r="C704" s="89"/>
      <c r="D704" s="150"/>
      <c r="E704" s="152"/>
      <c r="F704" s="151"/>
      <c r="G704" s="151"/>
      <c r="H704" s="151"/>
      <c r="I704" s="151"/>
      <c r="J704" s="152"/>
      <c r="K704" s="152"/>
      <c r="L704" s="152"/>
      <c r="M704" s="152"/>
      <c r="N704" s="150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</row>
    <row r="705" customFormat="false" ht="11.25" hidden="false" customHeight="true" outlineLevel="0" collapsed="false">
      <c r="A705" s="89"/>
      <c r="B705" s="89"/>
      <c r="C705" s="89"/>
      <c r="D705" s="150"/>
      <c r="E705" s="152"/>
      <c r="F705" s="151"/>
      <c r="G705" s="151"/>
      <c r="H705" s="151"/>
      <c r="I705" s="151"/>
      <c r="J705" s="152"/>
      <c r="K705" s="152"/>
      <c r="L705" s="152"/>
      <c r="M705" s="152"/>
      <c r="N705" s="150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</row>
    <row r="706" customFormat="false" ht="11.25" hidden="false" customHeight="true" outlineLevel="0" collapsed="false">
      <c r="A706" s="89"/>
      <c r="B706" s="89"/>
      <c r="C706" s="89"/>
      <c r="D706" s="150"/>
      <c r="E706" s="152"/>
      <c r="F706" s="151"/>
      <c r="G706" s="151"/>
      <c r="H706" s="151"/>
      <c r="I706" s="151"/>
      <c r="J706" s="152"/>
      <c r="K706" s="152"/>
      <c r="L706" s="152"/>
      <c r="M706" s="152"/>
      <c r="N706" s="150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</row>
    <row r="707" customFormat="false" ht="11.25" hidden="false" customHeight="true" outlineLevel="0" collapsed="false">
      <c r="A707" s="89"/>
      <c r="B707" s="89"/>
      <c r="C707" s="89"/>
      <c r="D707" s="150"/>
      <c r="E707" s="152"/>
      <c r="F707" s="151"/>
      <c r="G707" s="151"/>
      <c r="H707" s="151"/>
      <c r="I707" s="151"/>
      <c r="J707" s="152"/>
      <c r="K707" s="152"/>
      <c r="L707" s="152"/>
      <c r="M707" s="152"/>
      <c r="N707" s="150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</row>
    <row r="708" customFormat="false" ht="11.25" hidden="false" customHeight="true" outlineLevel="0" collapsed="false">
      <c r="A708" s="89"/>
      <c r="B708" s="89"/>
      <c r="C708" s="89"/>
      <c r="D708" s="150"/>
      <c r="E708" s="152"/>
      <c r="F708" s="151"/>
      <c r="G708" s="151"/>
      <c r="H708" s="151"/>
      <c r="I708" s="151"/>
      <c r="J708" s="152"/>
      <c r="K708" s="152"/>
      <c r="L708" s="152"/>
      <c r="M708" s="152"/>
      <c r="N708" s="150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</row>
    <row r="709" customFormat="false" ht="11.25" hidden="false" customHeight="true" outlineLevel="0" collapsed="false">
      <c r="A709" s="89"/>
      <c r="B709" s="89"/>
      <c r="C709" s="89"/>
      <c r="D709" s="150"/>
      <c r="E709" s="152"/>
      <c r="F709" s="151"/>
      <c r="G709" s="151"/>
      <c r="H709" s="151"/>
      <c r="I709" s="151"/>
      <c r="J709" s="152"/>
      <c r="K709" s="152"/>
      <c r="L709" s="152"/>
      <c r="M709" s="152"/>
      <c r="N709" s="150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</row>
    <row r="710" customFormat="false" ht="11.25" hidden="false" customHeight="true" outlineLevel="0" collapsed="false">
      <c r="A710" s="89"/>
      <c r="B710" s="89"/>
      <c r="C710" s="89"/>
      <c r="D710" s="150"/>
      <c r="E710" s="152"/>
      <c r="F710" s="151"/>
      <c r="G710" s="151"/>
      <c r="H710" s="151"/>
      <c r="I710" s="151"/>
      <c r="J710" s="152"/>
      <c r="K710" s="152"/>
      <c r="L710" s="152"/>
      <c r="M710" s="152"/>
      <c r="N710" s="150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</row>
    <row r="711" customFormat="false" ht="11.25" hidden="false" customHeight="true" outlineLevel="0" collapsed="false">
      <c r="A711" s="89"/>
      <c r="B711" s="89"/>
      <c r="C711" s="89"/>
      <c r="D711" s="150"/>
      <c r="E711" s="152"/>
      <c r="F711" s="151"/>
      <c r="G711" s="151"/>
      <c r="H711" s="151"/>
      <c r="I711" s="151"/>
      <c r="J711" s="152"/>
      <c r="K711" s="152"/>
      <c r="L711" s="152"/>
      <c r="M711" s="152"/>
      <c r="N711" s="150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</row>
    <row r="712" customFormat="false" ht="11.25" hidden="false" customHeight="true" outlineLevel="0" collapsed="false">
      <c r="A712" s="89"/>
      <c r="B712" s="89"/>
      <c r="C712" s="89"/>
      <c r="D712" s="150"/>
      <c r="E712" s="152"/>
      <c r="F712" s="151"/>
      <c r="G712" s="151"/>
      <c r="H712" s="151"/>
      <c r="I712" s="151"/>
      <c r="J712" s="152"/>
      <c r="K712" s="152"/>
      <c r="L712" s="152"/>
      <c r="M712" s="152"/>
      <c r="N712" s="150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</row>
    <row r="713" customFormat="false" ht="11.25" hidden="false" customHeight="true" outlineLevel="0" collapsed="false">
      <c r="A713" s="89"/>
      <c r="B713" s="89"/>
      <c r="C713" s="89"/>
      <c r="D713" s="150"/>
      <c r="E713" s="152"/>
      <c r="F713" s="151"/>
      <c r="G713" s="151"/>
      <c r="H713" s="151"/>
      <c r="I713" s="151"/>
      <c r="J713" s="152"/>
      <c r="K713" s="152"/>
      <c r="L713" s="152"/>
      <c r="M713" s="152"/>
      <c r="N713" s="150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</row>
    <row r="714" customFormat="false" ht="11.25" hidden="false" customHeight="true" outlineLevel="0" collapsed="false">
      <c r="A714" s="89"/>
      <c r="B714" s="89"/>
      <c r="C714" s="89"/>
      <c r="D714" s="150"/>
      <c r="E714" s="152"/>
      <c r="F714" s="151"/>
      <c r="G714" s="151"/>
      <c r="H714" s="151"/>
      <c r="I714" s="151"/>
      <c r="J714" s="152"/>
      <c r="K714" s="152"/>
      <c r="L714" s="152"/>
      <c r="M714" s="152"/>
      <c r="N714" s="150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</row>
    <row r="715" customFormat="false" ht="11.25" hidden="false" customHeight="true" outlineLevel="0" collapsed="false">
      <c r="A715" s="89"/>
      <c r="B715" s="89"/>
      <c r="C715" s="89"/>
      <c r="D715" s="150"/>
      <c r="E715" s="152"/>
      <c r="F715" s="151"/>
      <c r="G715" s="151"/>
      <c r="H715" s="151"/>
      <c r="I715" s="151"/>
      <c r="J715" s="152"/>
      <c r="K715" s="152"/>
      <c r="L715" s="152"/>
      <c r="M715" s="152"/>
      <c r="N715" s="150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</row>
    <row r="716" customFormat="false" ht="11.25" hidden="false" customHeight="true" outlineLevel="0" collapsed="false">
      <c r="A716" s="89"/>
      <c r="B716" s="89"/>
      <c r="C716" s="89"/>
      <c r="D716" s="150"/>
      <c r="E716" s="152"/>
      <c r="F716" s="151"/>
      <c r="G716" s="151"/>
      <c r="H716" s="151"/>
      <c r="I716" s="151"/>
      <c r="J716" s="152"/>
      <c r="K716" s="152"/>
      <c r="L716" s="152"/>
      <c r="M716" s="152"/>
      <c r="N716" s="150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</row>
    <row r="717" customFormat="false" ht="11.25" hidden="false" customHeight="true" outlineLevel="0" collapsed="false">
      <c r="A717" s="89"/>
      <c r="B717" s="89"/>
      <c r="C717" s="89"/>
      <c r="D717" s="150"/>
      <c r="E717" s="152"/>
      <c r="F717" s="151"/>
      <c r="G717" s="151"/>
      <c r="H717" s="151"/>
      <c r="I717" s="151"/>
      <c r="J717" s="152"/>
      <c r="K717" s="152"/>
      <c r="L717" s="152"/>
      <c r="M717" s="152"/>
      <c r="N717" s="150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</row>
    <row r="718" customFormat="false" ht="11.25" hidden="false" customHeight="true" outlineLevel="0" collapsed="false">
      <c r="A718" s="89"/>
      <c r="B718" s="89"/>
      <c r="C718" s="89"/>
      <c r="D718" s="150"/>
      <c r="E718" s="152"/>
      <c r="F718" s="151"/>
      <c r="G718" s="151"/>
      <c r="H718" s="151"/>
      <c r="I718" s="151"/>
      <c r="J718" s="152"/>
      <c r="K718" s="152"/>
      <c r="L718" s="152"/>
      <c r="M718" s="152"/>
      <c r="N718" s="150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</row>
    <row r="719" customFormat="false" ht="11.25" hidden="false" customHeight="true" outlineLevel="0" collapsed="false">
      <c r="A719" s="89"/>
      <c r="B719" s="89"/>
      <c r="C719" s="89"/>
      <c r="D719" s="150"/>
      <c r="E719" s="152"/>
      <c r="F719" s="151"/>
      <c r="G719" s="151"/>
      <c r="H719" s="151"/>
      <c r="I719" s="151"/>
      <c r="J719" s="152"/>
      <c r="K719" s="152"/>
      <c r="L719" s="152"/>
      <c r="M719" s="152"/>
      <c r="N719" s="150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</row>
    <row r="720" customFormat="false" ht="11.25" hidden="false" customHeight="true" outlineLevel="0" collapsed="false">
      <c r="A720" s="89"/>
      <c r="B720" s="89"/>
      <c r="C720" s="89"/>
      <c r="D720" s="150"/>
      <c r="E720" s="152"/>
      <c r="F720" s="151"/>
      <c r="G720" s="151"/>
      <c r="H720" s="151"/>
      <c r="I720" s="151"/>
      <c r="J720" s="152"/>
      <c r="K720" s="152"/>
      <c r="L720" s="152"/>
      <c r="M720" s="152"/>
      <c r="N720" s="150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</row>
    <row r="721" customFormat="false" ht="11.25" hidden="false" customHeight="true" outlineLevel="0" collapsed="false">
      <c r="A721" s="89"/>
      <c r="B721" s="89"/>
      <c r="C721" s="89"/>
      <c r="D721" s="150"/>
      <c r="E721" s="152"/>
      <c r="F721" s="151"/>
      <c r="G721" s="151"/>
      <c r="H721" s="151"/>
      <c r="I721" s="151"/>
      <c r="J721" s="152"/>
      <c r="K721" s="152"/>
      <c r="L721" s="152"/>
      <c r="M721" s="152"/>
      <c r="N721" s="150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</row>
    <row r="722" customFormat="false" ht="11.25" hidden="false" customHeight="true" outlineLevel="0" collapsed="false">
      <c r="A722" s="89"/>
      <c r="B722" s="89"/>
      <c r="C722" s="89"/>
      <c r="D722" s="150"/>
      <c r="E722" s="152"/>
      <c r="F722" s="151"/>
      <c r="G722" s="151"/>
      <c r="H722" s="151"/>
      <c r="I722" s="151"/>
      <c r="J722" s="152"/>
      <c r="K722" s="152"/>
      <c r="L722" s="152"/>
      <c r="M722" s="152"/>
      <c r="N722" s="150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</row>
    <row r="723" customFormat="false" ht="11.25" hidden="false" customHeight="true" outlineLevel="0" collapsed="false">
      <c r="A723" s="89"/>
      <c r="B723" s="89"/>
      <c r="C723" s="89"/>
      <c r="D723" s="150"/>
      <c r="E723" s="152"/>
      <c r="F723" s="151"/>
      <c r="G723" s="151"/>
      <c r="H723" s="151"/>
      <c r="I723" s="151"/>
      <c r="J723" s="152"/>
      <c r="K723" s="152"/>
      <c r="L723" s="152"/>
      <c r="M723" s="152"/>
      <c r="N723" s="150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</row>
    <row r="724" customFormat="false" ht="11.25" hidden="false" customHeight="true" outlineLevel="0" collapsed="false">
      <c r="A724" s="89"/>
      <c r="B724" s="89"/>
      <c r="C724" s="89"/>
      <c r="D724" s="150"/>
      <c r="E724" s="152"/>
      <c r="F724" s="151"/>
      <c r="G724" s="151"/>
      <c r="H724" s="151"/>
      <c r="I724" s="151"/>
      <c r="J724" s="152"/>
      <c r="K724" s="152"/>
      <c r="L724" s="152"/>
      <c r="M724" s="152"/>
      <c r="N724" s="150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</row>
    <row r="725" customFormat="false" ht="11.25" hidden="false" customHeight="true" outlineLevel="0" collapsed="false">
      <c r="A725" s="89"/>
      <c r="B725" s="89"/>
      <c r="C725" s="89"/>
      <c r="D725" s="150"/>
      <c r="E725" s="152"/>
      <c r="F725" s="151"/>
      <c r="G725" s="151"/>
      <c r="H725" s="151"/>
      <c r="I725" s="151"/>
      <c r="J725" s="152"/>
      <c r="K725" s="152"/>
      <c r="L725" s="152"/>
      <c r="M725" s="152"/>
      <c r="N725" s="150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</row>
    <row r="726" customFormat="false" ht="11.25" hidden="false" customHeight="true" outlineLevel="0" collapsed="false">
      <c r="A726" s="89"/>
      <c r="B726" s="89"/>
      <c r="C726" s="89"/>
      <c r="D726" s="150"/>
      <c r="E726" s="152"/>
      <c r="F726" s="151"/>
      <c r="G726" s="151"/>
      <c r="H726" s="151"/>
      <c r="I726" s="151"/>
      <c r="J726" s="152"/>
      <c r="K726" s="152"/>
      <c r="L726" s="152"/>
      <c r="M726" s="152"/>
      <c r="N726" s="150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</row>
    <row r="727" customFormat="false" ht="11.25" hidden="false" customHeight="true" outlineLevel="0" collapsed="false">
      <c r="A727" s="89"/>
      <c r="B727" s="89"/>
      <c r="C727" s="89"/>
      <c r="D727" s="150"/>
      <c r="E727" s="152"/>
      <c r="F727" s="151"/>
      <c r="G727" s="151"/>
      <c r="H727" s="151"/>
      <c r="I727" s="151"/>
      <c r="J727" s="152"/>
      <c r="K727" s="152"/>
      <c r="L727" s="152"/>
      <c r="M727" s="152"/>
      <c r="N727" s="150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</row>
    <row r="728" customFormat="false" ht="11.25" hidden="false" customHeight="true" outlineLevel="0" collapsed="false">
      <c r="A728" s="89"/>
      <c r="B728" s="89"/>
      <c r="C728" s="89"/>
      <c r="D728" s="150"/>
      <c r="E728" s="152"/>
      <c r="F728" s="151"/>
      <c r="G728" s="151"/>
      <c r="H728" s="151"/>
      <c r="I728" s="151"/>
      <c r="J728" s="152"/>
      <c r="K728" s="152"/>
      <c r="L728" s="152"/>
      <c r="M728" s="152"/>
      <c r="N728" s="150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</row>
    <row r="729" customFormat="false" ht="11.25" hidden="false" customHeight="true" outlineLevel="0" collapsed="false">
      <c r="A729" s="89"/>
      <c r="B729" s="89"/>
      <c r="C729" s="89"/>
      <c r="D729" s="150"/>
      <c r="E729" s="152"/>
      <c r="F729" s="151"/>
      <c r="G729" s="151"/>
      <c r="H729" s="151"/>
      <c r="I729" s="151"/>
      <c r="J729" s="152"/>
      <c r="K729" s="152"/>
      <c r="L729" s="152"/>
      <c r="M729" s="152"/>
      <c r="N729" s="150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</row>
    <row r="730" customFormat="false" ht="11.25" hidden="false" customHeight="true" outlineLevel="0" collapsed="false">
      <c r="A730" s="89"/>
      <c r="B730" s="89"/>
      <c r="C730" s="89"/>
      <c r="D730" s="150"/>
      <c r="E730" s="152"/>
      <c r="F730" s="151"/>
      <c r="G730" s="151"/>
      <c r="H730" s="151"/>
      <c r="I730" s="151"/>
      <c r="J730" s="152"/>
      <c r="K730" s="152"/>
      <c r="L730" s="152"/>
      <c r="M730" s="152"/>
      <c r="N730" s="150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</row>
    <row r="731" customFormat="false" ht="11.25" hidden="false" customHeight="true" outlineLevel="0" collapsed="false">
      <c r="A731" s="89"/>
      <c r="B731" s="89"/>
      <c r="C731" s="89"/>
      <c r="D731" s="150"/>
      <c r="E731" s="152"/>
      <c r="F731" s="151"/>
      <c r="G731" s="151"/>
      <c r="H731" s="151"/>
      <c r="I731" s="151"/>
      <c r="J731" s="152"/>
      <c r="K731" s="152"/>
      <c r="L731" s="152"/>
      <c r="M731" s="152"/>
      <c r="N731" s="150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</row>
    <row r="732" customFormat="false" ht="11.25" hidden="false" customHeight="true" outlineLevel="0" collapsed="false">
      <c r="A732" s="89"/>
      <c r="B732" s="89"/>
      <c r="C732" s="89"/>
      <c r="D732" s="150"/>
      <c r="E732" s="152"/>
      <c r="F732" s="151"/>
      <c r="G732" s="151"/>
      <c r="H732" s="151"/>
      <c r="I732" s="151"/>
      <c r="J732" s="152"/>
      <c r="K732" s="152"/>
      <c r="L732" s="152"/>
      <c r="M732" s="152"/>
      <c r="N732" s="150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</row>
    <row r="733" customFormat="false" ht="11.25" hidden="false" customHeight="true" outlineLevel="0" collapsed="false">
      <c r="A733" s="89"/>
      <c r="B733" s="89"/>
      <c r="C733" s="89"/>
      <c r="D733" s="150"/>
      <c r="E733" s="152"/>
      <c r="F733" s="151"/>
      <c r="G733" s="151"/>
      <c r="H733" s="151"/>
      <c r="I733" s="151"/>
      <c r="J733" s="152"/>
      <c r="K733" s="152"/>
      <c r="L733" s="152"/>
      <c r="M733" s="152"/>
      <c r="N733" s="150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</row>
    <row r="734" customFormat="false" ht="11.25" hidden="false" customHeight="true" outlineLevel="0" collapsed="false">
      <c r="A734" s="89"/>
      <c r="B734" s="89"/>
      <c r="C734" s="89"/>
      <c r="D734" s="150"/>
      <c r="E734" s="152"/>
      <c r="F734" s="151"/>
      <c r="G734" s="151"/>
      <c r="H734" s="151"/>
      <c r="I734" s="151"/>
      <c r="J734" s="152"/>
      <c r="K734" s="152"/>
      <c r="L734" s="152"/>
      <c r="M734" s="152"/>
      <c r="N734" s="150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</row>
    <row r="735" customFormat="false" ht="11.25" hidden="false" customHeight="true" outlineLevel="0" collapsed="false">
      <c r="A735" s="89"/>
      <c r="B735" s="89"/>
      <c r="C735" s="89"/>
      <c r="D735" s="150"/>
      <c r="E735" s="152"/>
      <c r="F735" s="151"/>
      <c r="G735" s="151"/>
      <c r="H735" s="151"/>
      <c r="I735" s="151"/>
      <c r="J735" s="152"/>
      <c r="K735" s="152"/>
      <c r="L735" s="152"/>
      <c r="M735" s="152"/>
      <c r="N735" s="150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</row>
    <row r="736" customFormat="false" ht="11.25" hidden="false" customHeight="true" outlineLevel="0" collapsed="false">
      <c r="A736" s="89"/>
      <c r="B736" s="89"/>
      <c r="C736" s="89"/>
      <c r="D736" s="150"/>
      <c r="E736" s="152"/>
      <c r="F736" s="151"/>
      <c r="G736" s="151"/>
      <c r="H736" s="151"/>
      <c r="I736" s="151"/>
      <c r="J736" s="152"/>
      <c r="K736" s="152"/>
      <c r="L736" s="152"/>
      <c r="M736" s="152"/>
      <c r="N736" s="150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</row>
    <row r="737" customFormat="false" ht="11.25" hidden="false" customHeight="true" outlineLevel="0" collapsed="false">
      <c r="A737" s="89"/>
      <c r="B737" s="89"/>
      <c r="C737" s="89"/>
      <c r="D737" s="150"/>
      <c r="E737" s="152"/>
      <c r="F737" s="151"/>
      <c r="G737" s="151"/>
      <c r="H737" s="151"/>
      <c r="I737" s="151"/>
      <c r="J737" s="152"/>
      <c r="K737" s="152"/>
      <c r="L737" s="152"/>
      <c r="M737" s="152"/>
      <c r="N737" s="150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</row>
    <row r="738" customFormat="false" ht="11.25" hidden="false" customHeight="true" outlineLevel="0" collapsed="false">
      <c r="A738" s="89"/>
      <c r="B738" s="89"/>
      <c r="C738" s="89"/>
      <c r="D738" s="150"/>
      <c r="E738" s="152"/>
      <c r="F738" s="151"/>
      <c r="G738" s="151"/>
      <c r="H738" s="151"/>
      <c r="I738" s="151"/>
      <c r="J738" s="152"/>
      <c r="K738" s="152"/>
      <c r="L738" s="152"/>
      <c r="M738" s="152"/>
      <c r="N738" s="150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</row>
    <row r="739" customFormat="false" ht="11.25" hidden="false" customHeight="true" outlineLevel="0" collapsed="false">
      <c r="A739" s="89"/>
      <c r="B739" s="89"/>
      <c r="C739" s="89"/>
      <c r="D739" s="150"/>
      <c r="E739" s="152"/>
      <c r="F739" s="151"/>
      <c r="G739" s="151"/>
      <c r="H739" s="151"/>
      <c r="I739" s="151"/>
      <c r="J739" s="152"/>
      <c r="K739" s="152"/>
      <c r="L739" s="152"/>
      <c r="M739" s="152"/>
      <c r="N739" s="150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</row>
    <row r="740" customFormat="false" ht="11.25" hidden="false" customHeight="true" outlineLevel="0" collapsed="false">
      <c r="A740" s="89"/>
      <c r="B740" s="89"/>
      <c r="C740" s="89"/>
      <c r="D740" s="150"/>
      <c r="E740" s="152"/>
      <c r="F740" s="151"/>
      <c r="G740" s="151"/>
      <c r="H740" s="151"/>
      <c r="I740" s="151"/>
      <c r="J740" s="152"/>
      <c r="K740" s="152"/>
      <c r="L740" s="152"/>
      <c r="M740" s="152"/>
      <c r="N740" s="150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</row>
    <row r="741" customFormat="false" ht="11.25" hidden="false" customHeight="true" outlineLevel="0" collapsed="false">
      <c r="A741" s="89"/>
      <c r="B741" s="89"/>
      <c r="C741" s="89"/>
      <c r="D741" s="150"/>
      <c r="E741" s="152"/>
      <c r="F741" s="151"/>
      <c r="G741" s="151"/>
      <c r="H741" s="151"/>
      <c r="I741" s="151"/>
      <c r="J741" s="152"/>
      <c r="K741" s="152"/>
      <c r="L741" s="152"/>
      <c r="M741" s="152"/>
      <c r="N741" s="150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</row>
    <row r="742" customFormat="false" ht="11.25" hidden="false" customHeight="true" outlineLevel="0" collapsed="false">
      <c r="A742" s="89"/>
      <c r="B742" s="89"/>
      <c r="C742" s="89"/>
      <c r="D742" s="150"/>
      <c r="E742" s="152"/>
      <c r="F742" s="151"/>
      <c r="G742" s="151"/>
      <c r="H742" s="151"/>
      <c r="I742" s="151"/>
      <c r="J742" s="152"/>
      <c r="K742" s="152"/>
      <c r="L742" s="152"/>
      <c r="M742" s="152"/>
      <c r="N742" s="150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</row>
    <row r="743" customFormat="false" ht="11.25" hidden="false" customHeight="true" outlineLevel="0" collapsed="false">
      <c r="A743" s="89"/>
      <c r="B743" s="89"/>
      <c r="C743" s="89"/>
      <c r="D743" s="150"/>
      <c r="E743" s="152"/>
      <c r="F743" s="151"/>
      <c r="G743" s="151"/>
      <c r="H743" s="151"/>
      <c r="I743" s="151"/>
      <c r="J743" s="152"/>
      <c r="K743" s="152"/>
      <c r="L743" s="152"/>
      <c r="M743" s="152"/>
      <c r="N743" s="150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</row>
    <row r="744" customFormat="false" ht="11.25" hidden="false" customHeight="true" outlineLevel="0" collapsed="false">
      <c r="A744" s="89"/>
      <c r="B744" s="89"/>
      <c r="C744" s="89"/>
      <c r="D744" s="150"/>
      <c r="E744" s="152"/>
      <c r="F744" s="151"/>
      <c r="G744" s="151"/>
      <c r="H744" s="151"/>
      <c r="I744" s="151"/>
      <c r="J744" s="152"/>
      <c r="K744" s="152"/>
      <c r="L744" s="152"/>
      <c r="M744" s="152"/>
      <c r="N744" s="150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</row>
    <row r="745" customFormat="false" ht="11.25" hidden="false" customHeight="true" outlineLevel="0" collapsed="false">
      <c r="A745" s="89"/>
      <c r="B745" s="89"/>
      <c r="C745" s="89"/>
      <c r="D745" s="150"/>
      <c r="E745" s="152"/>
      <c r="F745" s="151"/>
      <c r="G745" s="151"/>
      <c r="H745" s="151"/>
      <c r="I745" s="151"/>
      <c r="J745" s="152"/>
      <c r="K745" s="152"/>
      <c r="L745" s="152"/>
      <c r="M745" s="152"/>
      <c r="N745" s="150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</row>
    <row r="746" customFormat="false" ht="11.25" hidden="false" customHeight="true" outlineLevel="0" collapsed="false">
      <c r="A746" s="89"/>
      <c r="B746" s="89"/>
      <c r="C746" s="89"/>
      <c r="D746" s="150"/>
      <c r="E746" s="152"/>
      <c r="F746" s="151"/>
      <c r="G746" s="151"/>
      <c r="H746" s="151"/>
      <c r="I746" s="151"/>
      <c r="J746" s="152"/>
      <c r="K746" s="152"/>
      <c r="L746" s="152"/>
      <c r="M746" s="152"/>
      <c r="N746" s="150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</row>
    <row r="747" customFormat="false" ht="11.25" hidden="false" customHeight="true" outlineLevel="0" collapsed="false">
      <c r="A747" s="89"/>
      <c r="B747" s="89"/>
      <c r="C747" s="89"/>
      <c r="D747" s="150"/>
      <c r="E747" s="152"/>
      <c r="F747" s="151"/>
      <c r="G747" s="151"/>
      <c r="H747" s="151"/>
      <c r="I747" s="151"/>
      <c r="J747" s="152"/>
      <c r="K747" s="152"/>
      <c r="L747" s="152"/>
      <c r="M747" s="152"/>
      <c r="N747" s="150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</row>
    <row r="748" customFormat="false" ht="11.25" hidden="false" customHeight="true" outlineLevel="0" collapsed="false">
      <c r="A748" s="89"/>
      <c r="B748" s="89"/>
      <c r="C748" s="89"/>
      <c r="D748" s="150"/>
      <c r="E748" s="152"/>
      <c r="F748" s="151"/>
      <c r="G748" s="151"/>
      <c r="H748" s="151"/>
      <c r="I748" s="151"/>
      <c r="J748" s="152"/>
      <c r="K748" s="152"/>
      <c r="L748" s="152"/>
      <c r="M748" s="152"/>
      <c r="N748" s="150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</row>
    <row r="749" customFormat="false" ht="11.25" hidden="false" customHeight="true" outlineLevel="0" collapsed="false">
      <c r="A749" s="89"/>
      <c r="B749" s="89"/>
      <c r="C749" s="89"/>
      <c r="D749" s="150"/>
      <c r="E749" s="152"/>
      <c r="F749" s="151"/>
      <c r="G749" s="151"/>
      <c r="H749" s="151"/>
      <c r="I749" s="151"/>
      <c r="J749" s="152"/>
      <c r="K749" s="152"/>
      <c r="L749" s="152"/>
      <c r="M749" s="152"/>
      <c r="N749" s="150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</row>
    <row r="750" customFormat="false" ht="11.25" hidden="false" customHeight="true" outlineLevel="0" collapsed="false">
      <c r="A750" s="89"/>
      <c r="B750" s="89"/>
      <c r="C750" s="89"/>
      <c r="D750" s="150"/>
      <c r="E750" s="152"/>
      <c r="F750" s="151"/>
      <c r="G750" s="151"/>
      <c r="H750" s="151"/>
      <c r="I750" s="151"/>
      <c r="J750" s="152"/>
      <c r="K750" s="152"/>
      <c r="L750" s="152"/>
      <c r="M750" s="152"/>
      <c r="N750" s="150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</row>
    <row r="751" customFormat="false" ht="11.25" hidden="false" customHeight="true" outlineLevel="0" collapsed="false">
      <c r="A751" s="89"/>
      <c r="B751" s="89"/>
      <c r="C751" s="89"/>
      <c r="D751" s="150"/>
      <c r="E751" s="152"/>
      <c r="F751" s="151"/>
      <c r="G751" s="151"/>
      <c r="H751" s="151"/>
      <c r="I751" s="151"/>
      <c r="J751" s="152"/>
      <c r="K751" s="152"/>
      <c r="L751" s="152"/>
      <c r="M751" s="152"/>
      <c r="N751" s="150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</row>
    <row r="752" customFormat="false" ht="11.25" hidden="false" customHeight="true" outlineLevel="0" collapsed="false">
      <c r="A752" s="89"/>
      <c r="B752" s="89"/>
      <c r="C752" s="89"/>
      <c r="D752" s="150"/>
      <c r="E752" s="152"/>
      <c r="F752" s="151"/>
      <c r="G752" s="151"/>
      <c r="H752" s="151"/>
      <c r="I752" s="151"/>
      <c r="J752" s="152"/>
      <c r="K752" s="152"/>
      <c r="L752" s="152"/>
      <c r="M752" s="152"/>
      <c r="N752" s="150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</row>
    <row r="753" customFormat="false" ht="11.25" hidden="false" customHeight="true" outlineLevel="0" collapsed="false">
      <c r="A753" s="89"/>
      <c r="B753" s="89"/>
      <c r="C753" s="89"/>
      <c r="D753" s="150"/>
      <c r="E753" s="152"/>
      <c r="F753" s="151"/>
      <c r="G753" s="151"/>
      <c r="H753" s="151"/>
      <c r="I753" s="151"/>
      <c r="J753" s="152"/>
      <c r="K753" s="152"/>
      <c r="L753" s="152"/>
      <c r="M753" s="152"/>
      <c r="N753" s="150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</row>
    <row r="754" customFormat="false" ht="11.25" hidden="false" customHeight="true" outlineLevel="0" collapsed="false">
      <c r="A754" s="89"/>
      <c r="B754" s="89"/>
      <c r="C754" s="89"/>
      <c r="D754" s="150"/>
      <c r="E754" s="152"/>
      <c r="F754" s="151"/>
      <c r="G754" s="151"/>
      <c r="H754" s="151"/>
      <c r="I754" s="151"/>
      <c r="J754" s="152"/>
      <c r="K754" s="152"/>
      <c r="L754" s="152"/>
      <c r="M754" s="152"/>
      <c r="N754" s="150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</row>
    <row r="755" customFormat="false" ht="11.25" hidden="false" customHeight="true" outlineLevel="0" collapsed="false">
      <c r="A755" s="89"/>
      <c r="B755" s="89"/>
      <c r="C755" s="89"/>
      <c r="D755" s="150"/>
      <c r="E755" s="152"/>
      <c r="F755" s="151"/>
      <c r="G755" s="151"/>
      <c r="H755" s="151"/>
      <c r="I755" s="151"/>
      <c r="J755" s="152"/>
      <c r="K755" s="152"/>
      <c r="L755" s="152"/>
      <c r="M755" s="152"/>
      <c r="N755" s="150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</row>
    <row r="756" customFormat="false" ht="11.25" hidden="false" customHeight="true" outlineLevel="0" collapsed="false">
      <c r="A756" s="89"/>
      <c r="B756" s="89"/>
      <c r="C756" s="89"/>
      <c r="D756" s="150"/>
      <c r="E756" s="152"/>
      <c r="F756" s="151"/>
      <c r="G756" s="151"/>
      <c r="H756" s="151"/>
      <c r="I756" s="151"/>
      <c r="J756" s="152"/>
      <c r="K756" s="152"/>
      <c r="L756" s="152"/>
      <c r="M756" s="152"/>
      <c r="N756" s="150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</row>
    <row r="757" customFormat="false" ht="11.25" hidden="false" customHeight="true" outlineLevel="0" collapsed="false">
      <c r="A757" s="89"/>
      <c r="B757" s="89"/>
      <c r="C757" s="89"/>
      <c r="D757" s="150"/>
      <c r="E757" s="152"/>
      <c r="F757" s="151"/>
      <c r="G757" s="151"/>
      <c r="H757" s="151"/>
      <c r="I757" s="151"/>
      <c r="J757" s="152"/>
      <c r="K757" s="152"/>
      <c r="L757" s="152"/>
      <c r="M757" s="152"/>
      <c r="N757" s="150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</row>
    <row r="758" customFormat="false" ht="11.25" hidden="false" customHeight="true" outlineLevel="0" collapsed="false">
      <c r="A758" s="89"/>
      <c r="B758" s="89"/>
      <c r="C758" s="89"/>
      <c r="D758" s="150"/>
      <c r="E758" s="152"/>
      <c r="F758" s="151"/>
      <c r="G758" s="151"/>
      <c r="H758" s="151"/>
      <c r="I758" s="151"/>
      <c r="J758" s="152"/>
      <c r="K758" s="152"/>
      <c r="L758" s="152"/>
      <c r="M758" s="152"/>
      <c r="N758" s="150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</row>
    <row r="759" customFormat="false" ht="11.25" hidden="false" customHeight="true" outlineLevel="0" collapsed="false">
      <c r="A759" s="89"/>
      <c r="B759" s="89"/>
      <c r="C759" s="89"/>
      <c r="D759" s="150"/>
      <c r="E759" s="152"/>
      <c r="F759" s="151"/>
      <c r="G759" s="151"/>
      <c r="H759" s="151"/>
      <c r="I759" s="151"/>
      <c r="J759" s="152"/>
      <c r="K759" s="152"/>
      <c r="L759" s="152"/>
      <c r="M759" s="152"/>
      <c r="N759" s="150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</row>
    <row r="760" customFormat="false" ht="11.25" hidden="false" customHeight="true" outlineLevel="0" collapsed="false">
      <c r="A760" s="89"/>
      <c r="B760" s="89"/>
      <c r="C760" s="89"/>
      <c r="D760" s="150"/>
      <c r="E760" s="152"/>
      <c r="F760" s="151"/>
      <c r="G760" s="151"/>
      <c r="H760" s="151"/>
      <c r="I760" s="151"/>
      <c r="J760" s="152"/>
      <c r="K760" s="152"/>
      <c r="L760" s="152"/>
      <c r="M760" s="152"/>
      <c r="N760" s="150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</row>
    <row r="761" customFormat="false" ht="11.25" hidden="false" customHeight="true" outlineLevel="0" collapsed="false">
      <c r="A761" s="89"/>
      <c r="B761" s="89"/>
      <c r="C761" s="89"/>
      <c r="D761" s="150"/>
      <c r="E761" s="152"/>
      <c r="F761" s="151"/>
      <c r="G761" s="151"/>
      <c r="H761" s="151"/>
      <c r="I761" s="151"/>
      <c r="J761" s="152"/>
      <c r="K761" s="152"/>
      <c r="L761" s="152"/>
      <c r="M761" s="152"/>
      <c r="N761" s="150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</row>
    <row r="762" customFormat="false" ht="11.25" hidden="false" customHeight="true" outlineLevel="0" collapsed="false">
      <c r="A762" s="89"/>
      <c r="B762" s="89"/>
      <c r="C762" s="89"/>
      <c r="D762" s="150"/>
      <c r="E762" s="152"/>
      <c r="F762" s="151"/>
      <c r="G762" s="151"/>
      <c r="H762" s="151"/>
      <c r="I762" s="151"/>
      <c r="J762" s="152"/>
      <c r="K762" s="152"/>
      <c r="L762" s="152"/>
      <c r="M762" s="152"/>
      <c r="N762" s="150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</row>
    <row r="763" customFormat="false" ht="11.25" hidden="false" customHeight="true" outlineLevel="0" collapsed="false">
      <c r="A763" s="89"/>
      <c r="B763" s="89"/>
      <c r="C763" s="89"/>
      <c r="D763" s="150"/>
      <c r="E763" s="152"/>
      <c r="F763" s="151"/>
      <c r="G763" s="151"/>
      <c r="H763" s="151"/>
      <c r="I763" s="151"/>
      <c r="J763" s="152"/>
      <c r="K763" s="152"/>
      <c r="L763" s="152"/>
      <c r="M763" s="152"/>
      <c r="N763" s="150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</row>
    <row r="764" customFormat="false" ht="11.25" hidden="false" customHeight="true" outlineLevel="0" collapsed="false">
      <c r="A764" s="89"/>
      <c r="B764" s="89"/>
      <c r="C764" s="89"/>
      <c r="D764" s="150"/>
      <c r="E764" s="152"/>
      <c r="F764" s="151"/>
      <c r="G764" s="151"/>
      <c r="H764" s="151"/>
      <c r="I764" s="151"/>
      <c r="J764" s="152"/>
      <c r="K764" s="152"/>
      <c r="L764" s="152"/>
      <c r="M764" s="152"/>
      <c r="N764" s="150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</row>
    <row r="765" customFormat="false" ht="11.25" hidden="false" customHeight="true" outlineLevel="0" collapsed="false">
      <c r="A765" s="89"/>
      <c r="B765" s="89"/>
      <c r="C765" s="89"/>
      <c r="D765" s="150"/>
      <c r="E765" s="152"/>
      <c r="F765" s="151"/>
      <c r="G765" s="151"/>
      <c r="H765" s="151"/>
      <c r="I765" s="151"/>
      <c r="J765" s="152"/>
      <c r="K765" s="152"/>
      <c r="L765" s="152"/>
      <c r="M765" s="152"/>
      <c r="N765" s="150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</row>
    <row r="766" customFormat="false" ht="11.25" hidden="false" customHeight="true" outlineLevel="0" collapsed="false">
      <c r="A766" s="89"/>
      <c r="B766" s="89"/>
      <c r="C766" s="89"/>
      <c r="D766" s="150"/>
      <c r="E766" s="152"/>
      <c r="F766" s="151"/>
      <c r="G766" s="151"/>
      <c r="H766" s="151"/>
      <c r="I766" s="151"/>
      <c r="J766" s="152"/>
      <c r="K766" s="152"/>
      <c r="L766" s="152"/>
      <c r="M766" s="152"/>
      <c r="N766" s="150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</row>
    <row r="767" customFormat="false" ht="11.25" hidden="false" customHeight="true" outlineLevel="0" collapsed="false">
      <c r="A767" s="89"/>
      <c r="B767" s="89"/>
      <c r="C767" s="89"/>
      <c r="D767" s="150"/>
      <c r="E767" s="152"/>
      <c r="F767" s="151"/>
      <c r="G767" s="151"/>
      <c r="H767" s="151"/>
      <c r="I767" s="151"/>
      <c r="J767" s="152"/>
      <c r="K767" s="152"/>
      <c r="L767" s="152"/>
      <c r="M767" s="152"/>
      <c r="N767" s="150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</row>
    <row r="768" customFormat="false" ht="11.25" hidden="false" customHeight="true" outlineLevel="0" collapsed="false">
      <c r="A768" s="89"/>
      <c r="B768" s="89"/>
      <c r="C768" s="89"/>
      <c r="D768" s="150"/>
      <c r="E768" s="152"/>
      <c r="F768" s="151"/>
      <c r="G768" s="151"/>
      <c r="H768" s="151"/>
      <c r="I768" s="151"/>
      <c r="J768" s="152"/>
      <c r="K768" s="152"/>
      <c r="L768" s="152"/>
      <c r="M768" s="152"/>
      <c r="N768" s="150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</row>
    <row r="769" customFormat="false" ht="11.25" hidden="false" customHeight="true" outlineLevel="0" collapsed="false">
      <c r="A769" s="89"/>
      <c r="B769" s="89"/>
      <c r="C769" s="89"/>
      <c r="D769" s="150"/>
      <c r="E769" s="152"/>
      <c r="F769" s="151"/>
      <c r="G769" s="151"/>
      <c r="H769" s="151"/>
      <c r="I769" s="151"/>
      <c r="J769" s="152"/>
      <c r="K769" s="152"/>
      <c r="L769" s="152"/>
      <c r="M769" s="152"/>
      <c r="N769" s="150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</row>
    <row r="770" customFormat="false" ht="11.25" hidden="false" customHeight="true" outlineLevel="0" collapsed="false">
      <c r="A770" s="89"/>
      <c r="B770" s="89"/>
      <c r="C770" s="89"/>
      <c r="D770" s="150"/>
      <c r="E770" s="152"/>
      <c r="F770" s="151"/>
      <c r="G770" s="151"/>
      <c r="H770" s="151"/>
      <c r="I770" s="151"/>
      <c r="J770" s="152"/>
      <c r="K770" s="152"/>
      <c r="L770" s="152"/>
      <c r="M770" s="152"/>
      <c r="N770" s="150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</row>
    <row r="771" customFormat="false" ht="11.25" hidden="false" customHeight="true" outlineLevel="0" collapsed="false">
      <c r="A771" s="89"/>
      <c r="B771" s="89"/>
      <c r="C771" s="89"/>
      <c r="D771" s="150"/>
      <c r="E771" s="152"/>
      <c r="F771" s="151"/>
      <c r="G771" s="151"/>
      <c r="H771" s="151"/>
      <c r="I771" s="151"/>
      <c r="J771" s="152"/>
      <c r="K771" s="152"/>
      <c r="L771" s="152"/>
      <c r="M771" s="152"/>
      <c r="N771" s="150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</row>
    <row r="772" customFormat="false" ht="11.25" hidden="false" customHeight="true" outlineLevel="0" collapsed="false">
      <c r="A772" s="89"/>
      <c r="B772" s="89"/>
      <c r="C772" s="89"/>
      <c r="D772" s="150"/>
      <c r="E772" s="152"/>
      <c r="F772" s="151"/>
      <c r="G772" s="151"/>
      <c r="H772" s="151"/>
      <c r="I772" s="151"/>
      <c r="J772" s="152"/>
      <c r="K772" s="152"/>
      <c r="L772" s="152"/>
      <c r="M772" s="152"/>
      <c r="N772" s="150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</row>
    <row r="773" customFormat="false" ht="11.25" hidden="false" customHeight="true" outlineLevel="0" collapsed="false">
      <c r="A773" s="89"/>
      <c r="B773" s="89"/>
      <c r="C773" s="89"/>
      <c r="D773" s="150"/>
      <c r="E773" s="152"/>
      <c r="F773" s="151"/>
      <c r="G773" s="151"/>
      <c r="H773" s="151"/>
      <c r="I773" s="151"/>
      <c r="J773" s="152"/>
      <c r="K773" s="152"/>
      <c r="L773" s="152"/>
      <c r="M773" s="152"/>
      <c r="N773" s="150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</row>
    <row r="774" customFormat="false" ht="11.25" hidden="false" customHeight="true" outlineLevel="0" collapsed="false">
      <c r="A774" s="89"/>
      <c r="B774" s="89"/>
      <c r="C774" s="89"/>
      <c r="D774" s="150"/>
      <c r="E774" s="152"/>
      <c r="F774" s="151"/>
      <c r="G774" s="151"/>
      <c r="H774" s="151"/>
      <c r="I774" s="151"/>
      <c r="J774" s="152"/>
      <c r="K774" s="152"/>
      <c r="L774" s="152"/>
      <c r="M774" s="152"/>
      <c r="N774" s="150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</row>
    <row r="775" customFormat="false" ht="11.25" hidden="false" customHeight="true" outlineLevel="0" collapsed="false">
      <c r="A775" s="89"/>
      <c r="B775" s="89"/>
      <c r="C775" s="89"/>
      <c r="D775" s="150"/>
      <c r="E775" s="152"/>
      <c r="F775" s="151"/>
      <c r="G775" s="151"/>
      <c r="H775" s="151"/>
      <c r="I775" s="151"/>
      <c r="J775" s="152"/>
      <c r="K775" s="152"/>
      <c r="L775" s="152"/>
      <c r="M775" s="152"/>
      <c r="N775" s="150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</row>
    <row r="776" customFormat="false" ht="11.25" hidden="false" customHeight="true" outlineLevel="0" collapsed="false">
      <c r="A776" s="89"/>
      <c r="B776" s="89"/>
      <c r="C776" s="89"/>
      <c r="D776" s="150"/>
      <c r="E776" s="152"/>
      <c r="F776" s="151"/>
      <c r="G776" s="151"/>
      <c r="H776" s="151"/>
      <c r="I776" s="151"/>
      <c r="J776" s="152"/>
      <c r="K776" s="152"/>
      <c r="L776" s="152"/>
      <c r="M776" s="152"/>
      <c r="N776" s="150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</row>
    <row r="777" customFormat="false" ht="11.25" hidden="false" customHeight="true" outlineLevel="0" collapsed="false">
      <c r="A777" s="89"/>
      <c r="B777" s="89"/>
      <c r="C777" s="89"/>
      <c r="D777" s="150"/>
      <c r="E777" s="152"/>
      <c r="F777" s="151"/>
      <c r="G777" s="151"/>
      <c r="H777" s="151"/>
      <c r="I777" s="151"/>
      <c r="J777" s="152"/>
      <c r="K777" s="152"/>
      <c r="L777" s="152"/>
      <c r="M777" s="152"/>
      <c r="N777" s="150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</row>
    <row r="778" customFormat="false" ht="11.25" hidden="false" customHeight="true" outlineLevel="0" collapsed="false">
      <c r="A778" s="89"/>
      <c r="B778" s="89"/>
      <c r="C778" s="89"/>
      <c r="D778" s="150"/>
      <c r="E778" s="152"/>
      <c r="F778" s="151"/>
      <c r="G778" s="151"/>
      <c r="H778" s="151"/>
      <c r="I778" s="151"/>
      <c r="J778" s="152"/>
      <c r="K778" s="152"/>
      <c r="L778" s="152"/>
      <c r="M778" s="152"/>
      <c r="N778" s="150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</row>
    <row r="779" customFormat="false" ht="11.25" hidden="false" customHeight="true" outlineLevel="0" collapsed="false">
      <c r="A779" s="89"/>
      <c r="B779" s="89"/>
      <c r="C779" s="89"/>
      <c r="D779" s="150"/>
      <c r="E779" s="152"/>
      <c r="F779" s="151"/>
      <c r="G779" s="151"/>
      <c r="H779" s="151"/>
      <c r="I779" s="151"/>
      <c r="J779" s="152"/>
      <c r="K779" s="152"/>
      <c r="L779" s="152"/>
      <c r="M779" s="152"/>
      <c r="N779" s="150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</row>
    <row r="780" customFormat="false" ht="11.25" hidden="false" customHeight="true" outlineLevel="0" collapsed="false">
      <c r="A780" s="89"/>
      <c r="B780" s="89"/>
      <c r="C780" s="89"/>
      <c r="D780" s="150"/>
      <c r="E780" s="152"/>
      <c r="F780" s="151"/>
      <c r="G780" s="151"/>
      <c r="H780" s="151"/>
      <c r="I780" s="151"/>
      <c r="J780" s="152"/>
      <c r="K780" s="152"/>
      <c r="L780" s="152"/>
      <c r="M780" s="152"/>
      <c r="N780" s="150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</row>
    <row r="781" customFormat="false" ht="11.25" hidden="false" customHeight="true" outlineLevel="0" collapsed="false">
      <c r="A781" s="89"/>
      <c r="B781" s="89"/>
      <c r="C781" s="89"/>
      <c r="D781" s="150"/>
      <c r="E781" s="152"/>
      <c r="F781" s="151"/>
      <c r="G781" s="151"/>
      <c r="H781" s="151"/>
      <c r="I781" s="151"/>
      <c r="J781" s="152"/>
      <c r="K781" s="152"/>
      <c r="L781" s="152"/>
      <c r="M781" s="152"/>
      <c r="N781" s="150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</row>
    <row r="782" customFormat="false" ht="11.25" hidden="false" customHeight="true" outlineLevel="0" collapsed="false">
      <c r="A782" s="89"/>
      <c r="B782" s="89"/>
      <c r="C782" s="89"/>
      <c r="D782" s="150"/>
      <c r="E782" s="152"/>
      <c r="F782" s="151"/>
      <c r="G782" s="151"/>
      <c r="H782" s="151"/>
      <c r="I782" s="151"/>
      <c r="J782" s="152"/>
      <c r="K782" s="152"/>
      <c r="L782" s="152"/>
      <c r="M782" s="152"/>
      <c r="N782" s="150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</row>
    <row r="783" customFormat="false" ht="11.25" hidden="false" customHeight="true" outlineLevel="0" collapsed="false">
      <c r="A783" s="89"/>
      <c r="B783" s="89"/>
      <c r="C783" s="89"/>
      <c r="D783" s="150"/>
      <c r="E783" s="152"/>
      <c r="F783" s="151"/>
      <c r="G783" s="151"/>
      <c r="H783" s="151"/>
      <c r="I783" s="151"/>
      <c r="J783" s="152"/>
      <c r="K783" s="152"/>
      <c r="L783" s="152"/>
      <c r="M783" s="152"/>
      <c r="N783" s="150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</row>
    <row r="784" customFormat="false" ht="11.25" hidden="false" customHeight="true" outlineLevel="0" collapsed="false">
      <c r="A784" s="89"/>
      <c r="B784" s="89"/>
      <c r="C784" s="89"/>
      <c r="D784" s="150"/>
      <c r="E784" s="152"/>
      <c r="F784" s="151"/>
      <c r="G784" s="151"/>
      <c r="H784" s="151"/>
      <c r="I784" s="151"/>
      <c r="J784" s="152"/>
      <c r="K784" s="152"/>
      <c r="L784" s="152"/>
      <c r="M784" s="152"/>
      <c r="N784" s="150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</row>
    <row r="785" customFormat="false" ht="11.25" hidden="false" customHeight="true" outlineLevel="0" collapsed="false">
      <c r="A785" s="89"/>
      <c r="B785" s="89"/>
      <c r="C785" s="89"/>
      <c r="D785" s="150"/>
      <c r="E785" s="152"/>
      <c r="F785" s="151"/>
      <c r="G785" s="151"/>
      <c r="H785" s="151"/>
      <c r="I785" s="151"/>
      <c r="J785" s="152"/>
      <c r="K785" s="152"/>
      <c r="L785" s="152"/>
      <c r="M785" s="152"/>
      <c r="N785" s="150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</row>
    <row r="786" customFormat="false" ht="11.25" hidden="false" customHeight="true" outlineLevel="0" collapsed="false">
      <c r="A786" s="89"/>
      <c r="B786" s="89"/>
      <c r="C786" s="89"/>
      <c r="D786" s="150"/>
      <c r="E786" s="152"/>
      <c r="F786" s="151"/>
      <c r="G786" s="151"/>
      <c r="H786" s="151"/>
      <c r="I786" s="151"/>
      <c r="J786" s="152"/>
      <c r="K786" s="152"/>
      <c r="L786" s="152"/>
      <c r="M786" s="152"/>
      <c r="N786" s="150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</row>
    <row r="787" customFormat="false" ht="11.25" hidden="false" customHeight="true" outlineLevel="0" collapsed="false">
      <c r="A787" s="89"/>
      <c r="B787" s="89"/>
      <c r="C787" s="89"/>
      <c r="D787" s="150"/>
      <c r="E787" s="152"/>
      <c r="F787" s="151"/>
      <c r="G787" s="151"/>
      <c r="H787" s="151"/>
      <c r="I787" s="151"/>
      <c r="J787" s="152"/>
      <c r="K787" s="152"/>
      <c r="L787" s="152"/>
      <c r="M787" s="152"/>
      <c r="N787" s="150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</row>
    <row r="788" customFormat="false" ht="11.25" hidden="false" customHeight="true" outlineLevel="0" collapsed="false">
      <c r="A788" s="89"/>
      <c r="B788" s="89"/>
      <c r="C788" s="89"/>
      <c r="D788" s="150"/>
      <c r="E788" s="152"/>
      <c r="F788" s="151"/>
      <c r="G788" s="151"/>
      <c r="H788" s="151"/>
      <c r="I788" s="151"/>
      <c r="J788" s="152"/>
      <c r="K788" s="152"/>
      <c r="L788" s="152"/>
      <c r="M788" s="152"/>
      <c r="N788" s="150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</row>
    <row r="789" customFormat="false" ht="11.25" hidden="false" customHeight="true" outlineLevel="0" collapsed="false">
      <c r="A789" s="89"/>
      <c r="B789" s="89"/>
      <c r="C789" s="89"/>
      <c r="D789" s="150"/>
      <c r="E789" s="152"/>
      <c r="F789" s="151"/>
      <c r="G789" s="151"/>
      <c r="H789" s="151"/>
      <c r="I789" s="151"/>
      <c r="J789" s="152"/>
      <c r="K789" s="152"/>
      <c r="L789" s="152"/>
      <c r="M789" s="152"/>
      <c r="N789" s="150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</row>
    <row r="790" customFormat="false" ht="11.25" hidden="false" customHeight="true" outlineLevel="0" collapsed="false">
      <c r="A790" s="89"/>
      <c r="B790" s="89"/>
      <c r="C790" s="89"/>
      <c r="D790" s="150"/>
      <c r="E790" s="152"/>
      <c r="F790" s="151"/>
      <c r="G790" s="151"/>
      <c r="H790" s="151"/>
      <c r="I790" s="151"/>
      <c r="J790" s="152"/>
      <c r="K790" s="152"/>
      <c r="L790" s="152"/>
      <c r="M790" s="152"/>
      <c r="N790" s="150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</row>
    <row r="791" customFormat="false" ht="11.25" hidden="false" customHeight="true" outlineLevel="0" collapsed="false">
      <c r="A791" s="89"/>
      <c r="B791" s="89"/>
      <c r="C791" s="89"/>
      <c r="D791" s="150"/>
      <c r="E791" s="152"/>
      <c r="F791" s="151"/>
      <c r="G791" s="151"/>
      <c r="H791" s="151"/>
      <c r="I791" s="151"/>
      <c r="J791" s="152"/>
      <c r="K791" s="152"/>
      <c r="L791" s="152"/>
      <c r="M791" s="152"/>
      <c r="N791" s="150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</row>
    <row r="792" customFormat="false" ht="11.25" hidden="false" customHeight="true" outlineLevel="0" collapsed="false">
      <c r="A792" s="89"/>
      <c r="B792" s="89"/>
      <c r="C792" s="89"/>
      <c r="D792" s="150"/>
      <c r="E792" s="152"/>
      <c r="F792" s="151"/>
      <c r="G792" s="151"/>
      <c r="H792" s="151"/>
      <c r="I792" s="151"/>
      <c r="J792" s="152"/>
      <c r="K792" s="152"/>
      <c r="L792" s="152"/>
      <c r="M792" s="152"/>
      <c r="N792" s="150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</row>
    <row r="793" customFormat="false" ht="11.25" hidden="false" customHeight="true" outlineLevel="0" collapsed="false">
      <c r="A793" s="89"/>
      <c r="B793" s="89"/>
      <c r="C793" s="89"/>
      <c r="D793" s="150"/>
      <c r="E793" s="152"/>
      <c r="F793" s="151"/>
      <c r="G793" s="151"/>
      <c r="H793" s="151"/>
      <c r="I793" s="151"/>
      <c r="J793" s="152"/>
      <c r="K793" s="152"/>
      <c r="L793" s="152"/>
      <c r="M793" s="152"/>
      <c r="N793" s="150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</row>
    <row r="794" customFormat="false" ht="11.25" hidden="false" customHeight="true" outlineLevel="0" collapsed="false">
      <c r="A794" s="89"/>
      <c r="B794" s="89"/>
      <c r="C794" s="89"/>
      <c r="D794" s="150"/>
      <c r="E794" s="152"/>
      <c r="F794" s="151"/>
      <c r="G794" s="151"/>
      <c r="H794" s="151"/>
      <c r="I794" s="151"/>
      <c r="J794" s="152"/>
      <c r="K794" s="152"/>
      <c r="L794" s="152"/>
      <c r="M794" s="152"/>
      <c r="N794" s="150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</row>
    <row r="795" customFormat="false" ht="11.25" hidden="false" customHeight="true" outlineLevel="0" collapsed="false">
      <c r="A795" s="89"/>
      <c r="B795" s="89"/>
      <c r="C795" s="89"/>
      <c r="D795" s="150"/>
      <c r="E795" s="152"/>
      <c r="F795" s="151"/>
      <c r="G795" s="151"/>
      <c r="H795" s="151"/>
      <c r="I795" s="151"/>
      <c r="J795" s="152"/>
      <c r="K795" s="152"/>
      <c r="L795" s="152"/>
      <c r="M795" s="152"/>
      <c r="N795" s="150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</row>
    <row r="796" customFormat="false" ht="11.25" hidden="false" customHeight="true" outlineLevel="0" collapsed="false">
      <c r="A796" s="89"/>
      <c r="B796" s="89"/>
      <c r="C796" s="89"/>
      <c r="D796" s="150"/>
      <c r="E796" s="152"/>
      <c r="F796" s="151"/>
      <c r="G796" s="151"/>
      <c r="H796" s="151"/>
      <c r="I796" s="151"/>
      <c r="J796" s="152"/>
      <c r="K796" s="152"/>
      <c r="L796" s="152"/>
      <c r="M796" s="152"/>
      <c r="N796" s="150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</row>
    <row r="797" customFormat="false" ht="11.25" hidden="false" customHeight="true" outlineLevel="0" collapsed="false">
      <c r="A797" s="89"/>
      <c r="B797" s="89"/>
      <c r="C797" s="89"/>
      <c r="D797" s="150"/>
      <c r="E797" s="152"/>
      <c r="F797" s="151"/>
      <c r="G797" s="151"/>
      <c r="H797" s="151"/>
      <c r="I797" s="151"/>
      <c r="J797" s="152"/>
      <c r="K797" s="152"/>
      <c r="L797" s="152"/>
      <c r="M797" s="152"/>
      <c r="N797" s="150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</row>
    <row r="798" customFormat="false" ht="11.25" hidden="false" customHeight="true" outlineLevel="0" collapsed="false">
      <c r="A798" s="89"/>
      <c r="B798" s="89"/>
      <c r="C798" s="89"/>
      <c r="D798" s="150"/>
      <c r="E798" s="152"/>
      <c r="F798" s="151"/>
      <c r="G798" s="151"/>
      <c r="H798" s="151"/>
      <c r="I798" s="151"/>
      <c r="J798" s="152"/>
      <c r="K798" s="152"/>
      <c r="L798" s="152"/>
      <c r="M798" s="152"/>
      <c r="N798" s="150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</row>
    <row r="799" customFormat="false" ht="11.25" hidden="false" customHeight="true" outlineLevel="0" collapsed="false">
      <c r="A799" s="89"/>
      <c r="B799" s="89"/>
      <c r="C799" s="89"/>
      <c r="D799" s="150"/>
      <c r="E799" s="152"/>
      <c r="F799" s="151"/>
      <c r="G799" s="151"/>
      <c r="H799" s="151"/>
      <c r="I799" s="151"/>
      <c r="J799" s="152"/>
      <c r="K799" s="152"/>
      <c r="L799" s="152"/>
      <c r="M799" s="152"/>
      <c r="N799" s="150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</row>
    <row r="800" customFormat="false" ht="11.25" hidden="false" customHeight="true" outlineLevel="0" collapsed="false">
      <c r="A800" s="89"/>
      <c r="B800" s="89"/>
      <c r="C800" s="89"/>
      <c r="D800" s="150"/>
      <c r="E800" s="152"/>
      <c r="F800" s="151"/>
      <c r="G800" s="151"/>
      <c r="H800" s="151"/>
      <c r="I800" s="151"/>
      <c r="J800" s="152"/>
      <c r="K800" s="152"/>
      <c r="L800" s="152"/>
      <c r="M800" s="152"/>
      <c r="N800" s="150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</row>
    <row r="801" customFormat="false" ht="11.25" hidden="false" customHeight="true" outlineLevel="0" collapsed="false">
      <c r="A801" s="89"/>
      <c r="B801" s="89"/>
      <c r="C801" s="89"/>
      <c r="D801" s="150"/>
      <c r="E801" s="152"/>
      <c r="F801" s="151"/>
      <c r="G801" s="151"/>
      <c r="H801" s="151"/>
      <c r="I801" s="151"/>
      <c r="J801" s="152"/>
      <c r="K801" s="152"/>
      <c r="L801" s="152"/>
      <c r="M801" s="152"/>
      <c r="N801" s="150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</row>
    <row r="802" customFormat="false" ht="11.25" hidden="false" customHeight="true" outlineLevel="0" collapsed="false">
      <c r="A802" s="89"/>
      <c r="B802" s="89"/>
      <c r="C802" s="89"/>
      <c r="D802" s="150"/>
      <c r="E802" s="152"/>
      <c r="F802" s="151"/>
      <c r="G802" s="151"/>
      <c r="H802" s="151"/>
      <c r="I802" s="151"/>
      <c r="J802" s="152"/>
      <c r="K802" s="152"/>
      <c r="L802" s="152"/>
      <c r="M802" s="152"/>
      <c r="N802" s="150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</row>
    <row r="803" customFormat="false" ht="11.25" hidden="false" customHeight="true" outlineLevel="0" collapsed="false">
      <c r="A803" s="89"/>
      <c r="B803" s="89"/>
      <c r="C803" s="89"/>
      <c r="D803" s="150"/>
      <c r="E803" s="152"/>
      <c r="F803" s="151"/>
      <c r="G803" s="151"/>
      <c r="H803" s="151"/>
      <c r="I803" s="151"/>
      <c r="J803" s="152"/>
      <c r="K803" s="152"/>
      <c r="L803" s="152"/>
      <c r="M803" s="152"/>
      <c r="N803" s="150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</row>
    <row r="804" customFormat="false" ht="11.25" hidden="false" customHeight="true" outlineLevel="0" collapsed="false">
      <c r="A804" s="89"/>
      <c r="B804" s="89"/>
      <c r="C804" s="89"/>
      <c r="D804" s="150"/>
      <c r="E804" s="152"/>
      <c r="F804" s="151"/>
      <c r="G804" s="151"/>
      <c r="H804" s="151"/>
      <c r="I804" s="151"/>
      <c r="J804" s="152"/>
      <c r="K804" s="152"/>
      <c r="L804" s="152"/>
      <c r="M804" s="152"/>
      <c r="N804" s="150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</row>
    <row r="805" customFormat="false" ht="11.25" hidden="false" customHeight="true" outlineLevel="0" collapsed="false">
      <c r="A805" s="89"/>
      <c r="B805" s="89"/>
      <c r="C805" s="89"/>
      <c r="D805" s="150"/>
      <c r="E805" s="152"/>
      <c r="F805" s="151"/>
      <c r="G805" s="151"/>
      <c r="H805" s="151"/>
      <c r="I805" s="151"/>
      <c r="J805" s="152"/>
      <c r="K805" s="152"/>
      <c r="L805" s="152"/>
      <c r="M805" s="152"/>
      <c r="N805" s="150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</row>
    <row r="806" customFormat="false" ht="11.25" hidden="false" customHeight="true" outlineLevel="0" collapsed="false">
      <c r="A806" s="89"/>
      <c r="B806" s="89"/>
      <c r="C806" s="89"/>
      <c r="D806" s="150"/>
      <c r="E806" s="152"/>
      <c r="F806" s="151"/>
      <c r="G806" s="151"/>
      <c r="H806" s="151"/>
      <c r="I806" s="151"/>
      <c r="J806" s="152"/>
      <c r="K806" s="152"/>
      <c r="L806" s="152"/>
      <c r="M806" s="152"/>
      <c r="N806" s="150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</row>
    <row r="807" customFormat="false" ht="11.25" hidden="false" customHeight="true" outlineLevel="0" collapsed="false">
      <c r="A807" s="89"/>
      <c r="B807" s="89"/>
      <c r="C807" s="89"/>
      <c r="D807" s="150"/>
      <c r="E807" s="152"/>
      <c r="F807" s="151"/>
      <c r="G807" s="151"/>
      <c r="H807" s="151"/>
      <c r="I807" s="151"/>
      <c r="J807" s="152"/>
      <c r="K807" s="152"/>
      <c r="L807" s="152"/>
      <c r="M807" s="152"/>
      <c r="N807" s="150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</row>
    <row r="808" customFormat="false" ht="11.25" hidden="false" customHeight="true" outlineLevel="0" collapsed="false">
      <c r="A808" s="89"/>
      <c r="B808" s="89"/>
      <c r="C808" s="89"/>
      <c r="D808" s="150"/>
      <c r="E808" s="152"/>
      <c r="F808" s="151"/>
      <c r="G808" s="151"/>
      <c r="H808" s="151"/>
      <c r="I808" s="151"/>
      <c r="J808" s="152"/>
      <c r="K808" s="152"/>
      <c r="L808" s="152"/>
      <c r="M808" s="152"/>
      <c r="N808" s="150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</row>
    <row r="809" customFormat="false" ht="11.25" hidden="false" customHeight="true" outlineLevel="0" collapsed="false">
      <c r="A809" s="89"/>
      <c r="B809" s="89"/>
      <c r="C809" s="89"/>
      <c r="D809" s="150"/>
      <c r="E809" s="152"/>
      <c r="F809" s="151"/>
      <c r="G809" s="151"/>
      <c r="H809" s="151"/>
      <c r="I809" s="151"/>
      <c r="J809" s="152"/>
      <c r="K809" s="152"/>
      <c r="L809" s="152"/>
      <c r="M809" s="152"/>
      <c r="N809" s="150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</row>
    <row r="810" customFormat="false" ht="11.25" hidden="false" customHeight="true" outlineLevel="0" collapsed="false">
      <c r="A810" s="89"/>
      <c r="B810" s="89"/>
      <c r="C810" s="89"/>
      <c r="D810" s="150"/>
      <c r="E810" s="152"/>
      <c r="F810" s="151"/>
      <c r="G810" s="151"/>
      <c r="H810" s="151"/>
      <c r="I810" s="151"/>
      <c r="J810" s="152"/>
      <c r="K810" s="152"/>
      <c r="L810" s="152"/>
      <c r="M810" s="152"/>
      <c r="N810" s="150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</row>
    <row r="811" customFormat="false" ht="11.25" hidden="false" customHeight="true" outlineLevel="0" collapsed="false">
      <c r="A811" s="89"/>
      <c r="B811" s="89"/>
      <c r="C811" s="89"/>
      <c r="D811" s="150"/>
      <c r="E811" s="152"/>
      <c r="F811" s="151"/>
      <c r="G811" s="151"/>
      <c r="H811" s="151"/>
      <c r="I811" s="151"/>
      <c r="J811" s="152"/>
      <c r="K811" s="152"/>
      <c r="L811" s="152"/>
      <c r="M811" s="152"/>
      <c r="N811" s="150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</row>
    <row r="812" customFormat="false" ht="11.25" hidden="false" customHeight="true" outlineLevel="0" collapsed="false">
      <c r="A812" s="89"/>
      <c r="B812" s="89"/>
      <c r="C812" s="89"/>
      <c r="D812" s="150"/>
      <c r="E812" s="152"/>
      <c r="F812" s="151"/>
      <c r="G812" s="151"/>
      <c r="H812" s="151"/>
      <c r="I812" s="151"/>
      <c r="J812" s="152"/>
      <c r="K812" s="152"/>
      <c r="L812" s="152"/>
      <c r="M812" s="152"/>
      <c r="N812" s="150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</row>
    <row r="813" customFormat="false" ht="11.25" hidden="false" customHeight="true" outlineLevel="0" collapsed="false">
      <c r="A813" s="89"/>
      <c r="B813" s="89"/>
      <c r="C813" s="89"/>
      <c r="D813" s="150"/>
      <c r="E813" s="152"/>
      <c r="F813" s="151"/>
      <c r="G813" s="151"/>
      <c r="H813" s="151"/>
      <c r="I813" s="151"/>
      <c r="J813" s="152"/>
      <c r="K813" s="152"/>
      <c r="L813" s="152"/>
      <c r="M813" s="152"/>
      <c r="N813" s="150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</row>
    <row r="814" customFormat="false" ht="11.25" hidden="false" customHeight="true" outlineLevel="0" collapsed="false">
      <c r="A814" s="89"/>
      <c r="B814" s="89"/>
      <c r="C814" s="89"/>
      <c r="D814" s="150"/>
      <c r="E814" s="152"/>
      <c r="F814" s="151"/>
      <c r="G814" s="151"/>
      <c r="H814" s="151"/>
      <c r="I814" s="151"/>
      <c r="J814" s="152"/>
      <c r="K814" s="152"/>
      <c r="L814" s="152"/>
      <c r="M814" s="152"/>
      <c r="N814" s="150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</row>
    <row r="815" customFormat="false" ht="11.25" hidden="false" customHeight="true" outlineLevel="0" collapsed="false">
      <c r="A815" s="89"/>
      <c r="B815" s="89"/>
      <c r="C815" s="89"/>
      <c r="D815" s="150"/>
      <c r="E815" s="152"/>
      <c r="F815" s="151"/>
      <c r="G815" s="151"/>
      <c r="H815" s="151"/>
      <c r="I815" s="151"/>
      <c r="J815" s="152"/>
      <c r="K815" s="152"/>
      <c r="L815" s="152"/>
      <c r="M815" s="152"/>
      <c r="N815" s="150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</row>
    <row r="816" customFormat="false" ht="11.25" hidden="false" customHeight="true" outlineLevel="0" collapsed="false">
      <c r="A816" s="89"/>
      <c r="B816" s="89"/>
      <c r="C816" s="89"/>
      <c r="D816" s="150"/>
      <c r="E816" s="152"/>
      <c r="F816" s="151"/>
      <c r="G816" s="151"/>
      <c r="H816" s="151"/>
      <c r="I816" s="151"/>
      <c r="J816" s="152"/>
      <c r="K816" s="152"/>
      <c r="L816" s="152"/>
      <c r="M816" s="152"/>
      <c r="N816" s="150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</row>
    <row r="817" customFormat="false" ht="11.25" hidden="false" customHeight="true" outlineLevel="0" collapsed="false">
      <c r="A817" s="89"/>
      <c r="B817" s="89"/>
      <c r="C817" s="89"/>
      <c r="D817" s="150"/>
      <c r="E817" s="152"/>
      <c r="F817" s="151"/>
      <c r="G817" s="151"/>
      <c r="H817" s="151"/>
      <c r="I817" s="151"/>
      <c r="J817" s="152"/>
      <c r="K817" s="152"/>
      <c r="L817" s="152"/>
      <c r="M817" s="152"/>
      <c r="N817" s="150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</row>
    <row r="818" customFormat="false" ht="11.25" hidden="false" customHeight="true" outlineLevel="0" collapsed="false">
      <c r="A818" s="89"/>
      <c r="B818" s="89"/>
      <c r="C818" s="89"/>
      <c r="D818" s="150"/>
      <c r="E818" s="152"/>
      <c r="F818" s="151"/>
      <c r="G818" s="151"/>
      <c r="H818" s="151"/>
      <c r="I818" s="151"/>
      <c r="J818" s="152"/>
      <c r="K818" s="152"/>
      <c r="L818" s="152"/>
      <c r="M818" s="152"/>
      <c r="N818" s="150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</row>
    <row r="819" customFormat="false" ht="11.25" hidden="false" customHeight="true" outlineLevel="0" collapsed="false">
      <c r="A819" s="89"/>
      <c r="B819" s="89"/>
      <c r="C819" s="89"/>
      <c r="D819" s="150"/>
      <c r="E819" s="152"/>
      <c r="F819" s="151"/>
      <c r="G819" s="151"/>
      <c r="H819" s="151"/>
      <c r="I819" s="151"/>
      <c r="J819" s="152"/>
      <c r="K819" s="152"/>
      <c r="L819" s="152"/>
      <c r="M819" s="152"/>
      <c r="N819" s="150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</row>
    <row r="820" customFormat="false" ht="11.25" hidden="false" customHeight="true" outlineLevel="0" collapsed="false">
      <c r="A820" s="89"/>
      <c r="B820" s="89"/>
      <c r="C820" s="89"/>
      <c r="D820" s="150"/>
      <c r="E820" s="152"/>
      <c r="F820" s="151"/>
      <c r="G820" s="151"/>
      <c r="H820" s="151"/>
      <c r="I820" s="151"/>
      <c r="J820" s="152"/>
      <c r="K820" s="152"/>
      <c r="L820" s="152"/>
      <c r="M820" s="152"/>
      <c r="N820" s="150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</row>
    <row r="821" customFormat="false" ht="11.25" hidden="false" customHeight="true" outlineLevel="0" collapsed="false">
      <c r="A821" s="89"/>
      <c r="B821" s="89"/>
      <c r="C821" s="89"/>
      <c r="D821" s="150"/>
      <c r="E821" s="152"/>
      <c r="F821" s="151"/>
      <c r="G821" s="151"/>
      <c r="H821" s="151"/>
      <c r="I821" s="151"/>
      <c r="J821" s="152"/>
      <c r="K821" s="152"/>
      <c r="L821" s="152"/>
      <c r="M821" s="152"/>
      <c r="N821" s="150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</row>
    <row r="822" customFormat="false" ht="11.25" hidden="false" customHeight="true" outlineLevel="0" collapsed="false">
      <c r="A822" s="89"/>
      <c r="B822" s="89"/>
      <c r="C822" s="89"/>
      <c r="D822" s="150"/>
      <c r="E822" s="152"/>
      <c r="F822" s="151"/>
      <c r="G822" s="151"/>
      <c r="H822" s="151"/>
      <c r="I822" s="151"/>
      <c r="J822" s="152"/>
      <c r="K822" s="152"/>
      <c r="L822" s="152"/>
      <c r="M822" s="152"/>
      <c r="N822" s="150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</row>
    <row r="823" customFormat="false" ht="11.25" hidden="false" customHeight="true" outlineLevel="0" collapsed="false">
      <c r="A823" s="89"/>
      <c r="B823" s="89"/>
      <c r="C823" s="89"/>
      <c r="D823" s="150"/>
      <c r="E823" s="152"/>
      <c r="F823" s="151"/>
      <c r="G823" s="151"/>
      <c r="H823" s="151"/>
      <c r="I823" s="151"/>
      <c r="J823" s="152"/>
      <c r="K823" s="152"/>
      <c r="L823" s="152"/>
      <c r="M823" s="152"/>
      <c r="N823" s="150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</row>
    <row r="824" customFormat="false" ht="11.25" hidden="false" customHeight="true" outlineLevel="0" collapsed="false">
      <c r="A824" s="89"/>
      <c r="B824" s="89"/>
      <c r="C824" s="89"/>
      <c r="D824" s="150"/>
      <c r="E824" s="152"/>
      <c r="F824" s="151"/>
      <c r="G824" s="151"/>
      <c r="H824" s="151"/>
      <c r="I824" s="151"/>
      <c r="J824" s="152"/>
      <c r="K824" s="152"/>
      <c r="L824" s="152"/>
      <c r="M824" s="152"/>
      <c r="N824" s="150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</row>
    <row r="825" customFormat="false" ht="11.25" hidden="false" customHeight="true" outlineLevel="0" collapsed="false">
      <c r="A825" s="89"/>
      <c r="B825" s="89"/>
      <c r="C825" s="89"/>
      <c r="D825" s="150"/>
      <c r="E825" s="152"/>
      <c r="F825" s="151"/>
      <c r="G825" s="151"/>
      <c r="H825" s="151"/>
      <c r="I825" s="151"/>
      <c r="J825" s="152"/>
      <c r="K825" s="152"/>
      <c r="L825" s="152"/>
      <c r="M825" s="152"/>
      <c r="N825" s="150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</row>
    <row r="826" customFormat="false" ht="11.25" hidden="false" customHeight="true" outlineLevel="0" collapsed="false">
      <c r="A826" s="89"/>
      <c r="B826" s="89"/>
      <c r="C826" s="89"/>
      <c r="D826" s="150"/>
      <c r="E826" s="152"/>
      <c r="F826" s="151"/>
      <c r="G826" s="151"/>
      <c r="H826" s="151"/>
      <c r="I826" s="151"/>
      <c r="J826" s="152"/>
      <c r="K826" s="152"/>
      <c r="L826" s="152"/>
      <c r="M826" s="152"/>
      <c r="N826" s="150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</row>
    <row r="827" customFormat="false" ht="11.25" hidden="false" customHeight="true" outlineLevel="0" collapsed="false">
      <c r="A827" s="89"/>
      <c r="B827" s="89"/>
      <c r="C827" s="89"/>
      <c r="D827" s="150"/>
      <c r="E827" s="152"/>
      <c r="F827" s="151"/>
      <c r="G827" s="151"/>
      <c r="H827" s="151"/>
      <c r="I827" s="151"/>
      <c r="J827" s="152"/>
      <c r="K827" s="152"/>
      <c r="L827" s="152"/>
      <c r="M827" s="152"/>
      <c r="N827" s="150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</row>
    <row r="828" customFormat="false" ht="11.25" hidden="false" customHeight="true" outlineLevel="0" collapsed="false">
      <c r="A828" s="89"/>
      <c r="B828" s="89"/>
      <c r="C828" s="89"/>
      <c r="D828" s="150"/>
      <c r="E828" s="152"/>
      <c r="F828" s="151"/>
      <c r="G828" s="151"/>
      <c r="H828" s="151"/>
      <c r="I828" s="151"/>
      <c r="J828" s="152"/>
      <c r="K828" s="152"/>
      <c r="L828" s="152"/>
      <c r="M828" s="152"/>
      <c r="N828" s="150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</row>
    <row r="829" customFormat="false" ht="11.25" hidden="false" customHeight="true" outlineLevel="0" collapsed="false">
      <c r="A829" s="89"/>
      <c r="B829" s="89"/>
      <c r="C829" s="89"/>
      <c r="D829" s="150"/>
      <c r="E829" s="152"/>
      <c r="F829" s="151"/>
      <c r="G829" s="151"/>
      <c r="H829" s="151"/>
      <c r="I829" s="151"/>
      <c r="J829" s="152"/>
      <c r="K829" s="152"/>
      <c r="L829" s="152"/>
      <c r="M829" s="152"/>
      <c r="N829" s="150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</row>
    <row r="830" customFormat="false" ht="11.25" hidden="false" customHeight="true" outlineLevel="0" collapsed="false">
      <c r="A830" s="89"/>
      <c r="B830" s="89"/>
      <c r="C830" s="89"/>
      <c r="D830" s="150"/>
      <c r="E830" s="152"/>
      <c r="F830" s="151"/>
      <c r="G830" s="151"/>
      <c r="H830" s="151"/>
      <c r="I830" s="151"/>
      <c r="J830" s="152"/>
      <c r="K830" s="152"/>
      <c r="L830" s="152"/>
      <c r="M830" s="152"/>
      <c r="N830" s="150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</row>
    <row r="831" customFormat="false" ht="11.25" hidden="false" customHeight="true" outlineLevel="0" collapsed="false">
      <c r="A831" s="89"/>
      <c r="B831" s="89"/>
      <c r="C831" s="89"/>
      <c r="D831" s="150"/>
      <c r="E831" s="152"/>
      <c r="F831" s="151"/>
      <c r="G831" s="151"/>
      <c r="H831" s="151"/>
      <c r="I831" s="151"/>
      <c r="J831" s="152"/>
      <c r="K831" s="152"/>
      <c r="L831" s="152"/>
      <c r="M831" s="152"/>
      <c r="N831" s="150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</row>
    <row r="832" customFormat="false" ht="11.25" hidden="false" customHeight="true" outlineLevel="0" collapsed="false">
      <c r="A832" s="89"/>
      <c r="B832" s="89"/>
      <c r="C832" s="89"/>
      <c r="D832" s="150"/>
      <c r="E832" s="152"/>
      <c r="F832" s="151"/>
      <c r="G832" s="151"/>
      <c r="H832" s="151"/>
      <c r="I832" s="151"/>
      <c r="J832" s="152"/>
      <c r="K832" s="152"/>
      <c r="L832" s="152"/>
      <c r="M832" s="152"/>
      <c r="N832" s="150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</row>
    <row r="833" customFormat="false" ht="11.25" hidden="false" customHeight="true" outlineLevel="0" collapsed="false">
      <c r="A833" s="89"/>
      <c r="B833" s="89"/>
      <c r="C833" s="89"/>
      <c r="D833" s="150"/>
      <c r="E833" s="152"/>
      <c r="F833" s="151"/>
      <c r="G833" s="151"/>
      <c r="H833" s="151"/>
      <c r="I833" s="151"/>
      <c r="J833" s="152"/>
      <c r="K833" s="152"/>
      <c r="L833" s="152"/>
      <c r="M833" s="152"/>
      <c r="N833" s="150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</row>
    <row r="834" customFormat="false" ht="11.25" hidden="false" customHeight="true" outlineLevel="0" collapsed="false">
      <c r="A834" s="89"/>
      <c r="B834" s="89"/>
      <c r="C834" s="89"/>
      <c r="D834" s="150"/>
      <c r="E834" s="152"/>
      <c r="F834" s="151"/>
      <c r="G834" s="151"/>
      <c r="H834" s="151"/>
      <c r="I834" s="151"/>
      <c r="J834" s="152"/>
      <c r="K834" s="152"/>
      <c r="L834" s="152"/>
      <c r="M834" s="152"/>
      <c r="N834" s="150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</row>
    <row r="835" customFormat="false" ht="11.25" hidden="false" customHeight="true" outlineLevel="0" collapsed="false">
      <c r="A835" s="89"/>
      <c r="B835" s="89"/>
      <c r="C835" s="89"/>
      <c r="D835" s="150"/>
      <c r="E835" s="152"/>
      <c r="F835" s="151"/>
      <c r="G835" s="151"/>
      <c r="H835" s="151"/>
      <c r="I835" s="151"/>
      <c r="J835" s="152"/>
      <c r="K835" s="152"/>
      <c r="L835" s="152"/>
      <c r="M835" s="152"/>
      <c r="N835" s="150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</row>
    <row r="836" customFormat="false" ht="11.25" hidden="false" customHeight="true" outlineLevel="0" collapsed="false">
      <c r="A836" s="89"/>
      <c r="B836" s="89"/>
      <c r="C836" s="89"/>
      <c r="D836" s="150"/>
      <c r="E836" s="152"/>
      <c r="F836" s="151"/>
      <c r="G836" s="151"/>
      <c r="H836" s="151"/>
      <c r="I836" s="151"/>
      <c r="J836" s="152"/>
      <c r="K836" s="152"/>
      <c r="L836" s="152"/>
      <c r="M836" s="152"/>
      <c r="N836" s="150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</row>
    <row r="837" customFormat="false" ht="11.25" hidden="false" customHeight="true" outlineLevel="0" collapsed="false">
      <c r="A837" s="89"/>
      <c r="B837" s="89"/>
      <c r="C837" s="89"/>
      <c r="D837" s="150"/>
      <c r="E837" s="152"/>
      <c r="F837" s="151"/>
      <c r="G837" s="151"/>
      <c r="H837" s="151"/>
      <c r="I837" s="151"/>
      <c r="J837" s="152"/>
      <c r="K837" s="152"/>
      <c r="L837" s="152"/>
      <c r="M837" s="152"/>
      <c r="N837" s="150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</row>
    <row r="838" customFormat="false" ht="11.25" hidden="false" customHeight="true" outlineLevel="0" collapsed="false">
      <c r="A838" s="89"/>
      <c r="B838" s="89"/>
      <c r="C838" s="89"/>
      <c r="D838" s="150"/>
      <c r="E838" s="152"/>
      <c r="F838" s="151"/>
      <c r="G838" s="151"/>
      <c r="H838" s="151"/>
      <c r="I838" s="151"/>
      <c r="J838" s="152"/>
      <c r="K838" s="152"/>
      <c r="L838" s="152"/>
      <c r="M838" s="152"/>
      <c r="N838" s="150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</row>
    <row r="839" customFormat="false" ht="11.25" hidden="false" customHeight="true" outlineLevel="0" collapsed="false">
      <c r="A839" s="89"/>
      <c r="B839" s="89"/>
      <c r="C839" s="89"/>
      <c r="D839" s="150"/>
      <c r="E839" s="152"/>
      <c r="F839" s="151"/>
      <c r="G839" s="151"/>
      <c r="H839" s="151"/>
      <c r="I839" s="151"/>
      <c r="J839" s="152"/>
      <c r="K839" s="152"/>
      <c r="L839" s="152"/>
      <c r="M839" s="152"/>
      <c r="N839" s="150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</row>
    <row r="840" customFormat="false" ht="11.25" hidden="false" customHeight="true" outlineLevel="0" collapsed="false">
      <c r="A840" s="89"/>
      <c r="B840" s="89"/>
      <c r="C840" s="89"/>
      <c r="D840" s="150"/>
      <c r="E840" s="152"/>
      <c r="F840" s="151"/>
      <c r="G840" s="151"/>
      <c r="H840" s="151"/>
      <c r="I840" s="151"/>
      <c r="J840" s="152"/>
      <c r="K840" s="152"/>
      <c r="L840" s="152"/>
      <c r="M840" s="152"/>
      <c r="N840" s="150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</row>
    <row r="841" customFormat="false" ht="11.25" hidden="false" customHeight="true" outlineLevel="0" collapsed="false">
      <c r="A841" s="89"/>
      <c r="B841" s="89"/>
      <c r="C841" s="89"/>
      <c r="D841" s="150"/>
      <c r="E841" s="152"/>
      <c r="F841" s="151"/>
      <c r="G841" s="151"/>
      <c r="H841" s="151"/>
      <c r="I841" s="151"/>
      <c r="J841" s="152"/>
      <c r="K841" s="152"/>
      <c r="L841" s="152"/>
      <c r="M841" s="152"/>
      <c r="N841" s="150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</row>
    <row r="842" customFormat="false" ht="11.25" hidden="false" customHeight="true" outlineLevel="0" collapsed="false">
      <c r="A842" s="89"/>
      <c r="B842" s="89"/>
      <c r="C842" s="89"/>
      <c r="D842" s="150"/>
      <c r="E842" s="152"/>
      <c r="F842" s="151"/>
      <c r="G842" s="151"/>
      <c r="H842" s="151"/>
      <c r="I842" s="151"/>
      <c r="J842" s="152"/>
      <c r="K842" s="152"/>
      <c r="L842" s="152"/>
      <c r="M842" s="152"/>
      <c r="N842" s="150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</row>
    <row r="843" customFormat="false" ht="11.25" hidden="false" customHeight="true" outlineLevel="0" collapsed="false">
      <c r="A843" s="89"/>
      <c r="B843" s="89"/>
      <c r="C843" s="89"/>
      <c r="D843" s="150"/>
      <c r="E843" s="152"/>
      <c r="F843" s="151"/>
      <c r="G843" s="151"/>
      <c r="H843" s="151"/>
      <c r="I843" s="151"/>
      <c r="J843" s="152"/>
      <c r="K843" s="152"/>
      <c r="L843" s="152"/>
      <c r="M843" s="152"/>
      <c r="N843" s="150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</row>
    <row r="844" customFormat="false" ht="11.25" hidden="false" customHeight="true" outlineLevel="0" collapsed="false">
      <c r="A844" s="89"/>
      <c r="B844" s="89"/>
      <c r="C844" s="89"/>
      <c r="D844" s="150"/>
      <c r="E844" s="152"/>
      <c r="F844" s="151"/>
      <c r="G844" s="151"/>
      <c r="H844" s="151"/>
      <c r="I844" s="151"/>
      <c r="J844" s="152"/>
      <c r="K844" s="152"/>
      <c r="L844" s="152"/>
      <c r="M844" s="152"/>
      <c r="N844" s="150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</row>
    <row r="845" customFormat="false" ht="11.25" hidden="false" customHeight="true" outlineLevel="0" collapsed="false">
      <c r="A845" s="89"/>
      <c r="B845" s="89"/>
      <c r="C845" s="89"/>
      <c r="D845" s="150"/>
      <c r="E845" s="152"/>
      <c r="F845" s="151"/>
      <c r="G845" s="151"/>
      <c r="H845" s="151"/>
      <c r="I845" s="151"/>
      <c r="J845" s="152"/>
      <c r="K845" s="152"/>
      <c r="L845" s="152"/>
      <c r="M845" s="152"/>
      <c r="N845" s="150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</row>
    <row r="846" customFormat="false" ht="11.25" hidden="false" customHeight="true" outlineLevel="0" collapsed="false">
      <c r="A846" s="89"/>
      <c r="B846" s="89"/>
      <c r="C846" s="89"/>
      <c r="D846" s="150"/>
      <c r="E846" s="152"/>
      <c r="F846" s="151"/>
      <c r="G846" s="151"/>
      <c r="H846" s="151"/>
      <c r="I846" s="151"/>
      <c r="J846" s="152"/>
      <c r="K846" s="152"/>
      <c r="L846" s="152"/>
      <c r="M846" s="152"/>
      <c r="N846" s="150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</row>
    <row r="847" customFormat="false" ht="11.25" hidden="false" customHeight="true" outlineLevel="0" collapsed="false">
      <c r="A847" s="89"/>
      <c r="B847" s="89"/>
      <c r="C847" s="89"/>
      <c r="D847" s="150"/>
      <c r="E847" s="152"/>
      <c r="F847" s="151"/>
      <c r="G847" s="151"/>
      <c r="H847" s="151"/>
      <c r="I847" s="151"/>
      <c r="J847" s="152"/>
      <c r="K847" s="152"/>
      <c r="L847" s="152"/>
      <c r="M847" s="152"/>
      <c r="N847" s="150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</row>
    <row r="848" customFormat="false" ht="11.25" hidden="false" customHeight="true" outlineLevel="0" collapsed="false">
      <c r="A848" s="89"/>
      <c r="B848" s="89"/>
      <c r="C848" s="89"/>
      <c r="D848" s="150"/>
      <c r="E848" s="152"/>
      <c r="F848" s="151"/>
      <c r="G848" s="151"/>
      <c r="H848" s="151"/>
      <c r="I848" s="151"/>
      <c r="J848" s="152"/>
      <c r="K848" s="152"/>
      <c r="L848" s="152"/>
      <c r="M848" s="152"/>
      <c r="N848" s="150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</row>
    <row r="849" customFormat="false" ht="11.25" hidden="false" customHeight="true" outlineLevel="0" collapsed="false">
      <c r="A849" s="89"/>
      <c r="B849" s="89"/>
      <c r="C849" s="89"/>
      <c r="D849" s="150"/>
      <c r="E849" s="152"/>
      <c r="F849" s="151"/>
      <c r="G849" s="151"/>
      <c r="H849" s="151"/>
      <c r="I849" s="151"/>
      <c r="J849" s="152"/>
      <c r="K849" s="152"/>
      <c r="L849" s="152"/>
      <c r="M849" s="152"/>
      <c r="N849" s="150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</row>
    <row r="850" customFormat="false" ht="11.25" hidden="false" customHeight="true" outlineLevel="0" collapsed="false">
      <c r="A850" s="89"/>
      <c r="B850" s="89"/>
      <c r="C850" s="89"/>
      <c r="D850" s="150"/>
      <c r="E850" s="152"/>
      <c r="F850" s="151"/>
      <c r="G850" s="151"/>
      <c r="H850" s="151"/>
      <c r="I850" s="151"/>
      <c r="J850" s="152"/>
      <c r="K850" s="152"/>
      <c r="L850" s="152"/>
      <c r="M850" s="152"/>
      <c r="N850" s="150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</row>
    <row r="851" customFormat="false" ht="11.25" hidden="false" customHeight="true" outlineLevel="0" collapsed="false">
      <c r="A851" s="89"/>
      <c r="B851" s="89"/>
      <c r="C851" s="89"/>
      <c r="D851" s="150"/>
      <c r="E851" s="152"/>
      <c r="F851" s="151"/>
      <c r="G851" s="151"/>
      <c r="H851" s="151"/>
      <c r="I851" s="151"/>
      <c r="J851" s="152"/>
      <c r="K851" s="152"/>
      <c r="L851" s="152"/>
      <c r="M851" s="152"/>
      <c r="N851" s="150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</row>
    <row r="852" customFormat="false" ht="11.25" hidden="false" customHeight="true" outlineLevel="0" collapsed="false">
      <c r="A852" s="89"/>
      <c r="B852" s="89"/>
      <c r="C852" s="89"/>
      <c r="D852" s="150"/>
      <c r="E852" s="152"/>
      <c r="F852" s="151"/>
      <c r="G852" s="151"/>
      <c r="H852" s="151"/>
      <c r="I852" s="151"/>
      <c r="J852" s="152"/>
      <c r="K852" s="152"/>
      <c r="L852" s="152"/>
      <c r="M852" s="152"/>
      <c r="N852" s="150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</row>
    <row r="853" customFormat="false" ht="11.25" hidden="false" customHeight="true" outlineLevel="0" collapsed="false">
      <c r="A853" s="89"/>
      <c r="B853" s="89"/>
      <c r="C853" s="89"/>
      <c r="D853" s="150"/>
      <c r="E853" s="152"/>
      <c r="F853" s="151"/>
      <c r="G853" s="151"/>
      <c r="H853" s="151"/>
      <c r="I853" s="151"/>
      <c r="J853" s="152"/>
      <c r="K853" s="152"/>
      <c r="L853" s="152"/>
      <c r="M853" s="152"/>
      <c r="N853" s="150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</row>
    <row r="854" customFormat="false" ht="11.25" hidden="false" customHeight="true" outlineLevel="0" collapsed="false">
      <c r="A854" s="89"/>
      <c r="B854" s="89"/>
      <c r="C854" s="89"/>
      <c r="D854" s="150"/>
      <c r="E854" s="152"/>
      <c r="F854" s="151"/>
      <c r="G854" s="151"/>
      <c r="H854" s="151"/>
      <c r="I854" s="151"/>
      <c r="J854" s="152"/>
      <c r="K854" s="152"/>
      <c r="L854" s="152"/>
      <c r="M854" s="152"/>
      <c r="N854" s="150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</row>
    <row r="855" customFormat="false" ht="11.25" hidden="false" customHeight="true" outlineLevel="0" collapsed="false">
      <c r="A855" s="89"/>
      <c r="B855" s="89"/>
      <c r="C855" s="89"/>
      <c r="D855" s="150"/>
      <c r="E855" s="152"/>
      <c r="F855" s="151"/>
      <c r="G855" s="151"/>
      <c r="H855" s="151"/>
      <c r="I855" s="151"/>
      <c r="J855" s="152"/>
      <c r="K855" s="152"/>
      <c r="L855" s="152"/>
      <c r="M855" s="152"/>
      <c r="N855" s="150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</row>
    <row r="856" customFormat="false" ht="11.25" hidden="false" customHeight="true" outlineLevel="0" collapsed="false">
      <c r="A856" s="89"/>
      <c r="B856" s="89"/>
      <c r="C856" s="89"/>
      <c r="D856" s="150"/>
      <c r="E856" s="152"/>
      <c r="F856" s="151"/>
      <c r="G856" s="151"/>
      <c r="H856" s="151"/>
      <c r="I856" s="151"/>
      <c r="J856" s="152"/>
      <c r="K856" s="152"/>
      <c r="L856" s="152"/>
      <c r="M856" s="152"/>
      <c r="N856" s="150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</row>
    <row r="857" customFormat="false" ht="11.25" hidden="false" customHeight="true" outlineLevel="0" collapsed="false">
      <c r="A857" s="89"/>
      <c r="B857" s="89"/>
      <c r="C857" s="89"/>
      <c r="D857" s="150"/>
      <c r="E857" s="152"/>
      <c r="F857" s="151"/>
      <c r="G857" s="151"/>
      <c r="H857" s="151"/>
      <c r="I857" s="151"/>
      <c r="J857" s="152"/>
      <c r="K857" s="152"/>
      <c r="L857" s="152"/>
      <c r="M857" s="152"/>
      <c r="N857" s="150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</row>
    <row r="858" customFormat="false" ht="11.25" hidden="false" customHeight="true" outlineLevel="0" collapsed="false">
      <c r="A858" s="89"/>
      <c r="B858" s="89"/>
      <c r="C858" s="89"/>
      <c r="D858" s="150"/>
      <c r="E858" s="152"/>
      <c r="F858" s="151"/>
      <c r="G858" s="151"/>
      <c r="H858" s="151"/>
      <c r="I858" s="151"/>
      <c r="J858" s="152"/>
      <c r="K858" s="152"/>
      <c r="L858" s="152"/>
      <c r="M858" s="152"/>
      <c r="N858" s="150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</row>
    <row r="859" customFormat="false" ht="11.25" hidden="false" customHeight="true" outlineLevel="0" collapsed="false">
      <c r="A859" s="89"/>
      <c r="B859" s="89"/>
      <c r="C859" s="89"/>
      <c r="D859" s="150"/>
      <c r="E859" s="152"/>
      <c r="F859" s="151"/>
      <c r="G859" s="151"/>
      <c r="H859" s="151"/>
      <c r="I859" s="151"/>
      <c r="J859" s="152"/>
      <c r="K859" s="152"/>
      <c r="L859" s="152"/>
      <c r="M859" s="152"/>
      <c r="N859" s="150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</row>
    <row r="860" customFormat="false" ht="11.25" hidden="false" customHeight="true" outlineLevel="0" collapsed="false">
      <c r="A860" s="89"/>
      <c r="B860" s="89"/>
      <c r="C860" s="89"/>
      <c r="D860" s="150"/>
      <c r="E860" s="152"/>
      <c r="F860" s="151"/>
      <c r="G860" s="151"/>
      <c r="H860" s="151"/>
      <c r="I860" s="151"/>
      <c r="J860" s="152"/>
      <c r="K860" s="152"/>
      <c r="L860" s="152"/>
      <c r="M860" s="152"/>
      <c r="N860" s="150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</row>
    <row r="861" customFormat="false" ht="11.25" hidden="false" customHeight="true" outlineLevel="0" collapsed="false">
      <c r="A861" s="89"/>
      <c r="B861" s="89"/>
      <c r="C861" s="89"/>
      <c r="D861" s="150"/>
      <c r="E861" s="152"/>
      <c r="F861" s="151"/>
      <c r="G861" s="151"/>
      <c r="H861" s="151"/>
      <c r="I861" s="151"/>
      <c r="J861" s="152"/>
      <c r="K861" s="152"/>
      <c r="L861" s="152"/>
      <c r="M861" s="152"/>
      <c r="N861" s="150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</row>
    <row r="862" customFormat="false" ht="11.25" hidden="false" customHeight="true" outlineLevel="0" collapsed="false">
      <c r="A862" s="89"/>
      <c r="B862" s="89"/>
      <c r="C862" s="89"/>
      <c r="D862" s="150"/>
      <c r="E862" s="152"/>
      <c r="F862" s="151"/>
      <c r="G862" s="151"/>
      <c r="H862" s="151"/>
      <c r="I862" s="151"/>
      <c r="J862" s="152"/>
      <c r="K862" s="152"/>
      <c r="L862" s="152"/>
      <c r="M862" s="152"/>
      <c r="N862" s="150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</row>
    <row r="863" customFormat="false" ht="11.25" hidden="false" customHeight="true" outlineLevel="0" collapsed="false">
      <c r="A863" s="89"/>
      <c r="B863" s="89"/>
      <c r="C863" s="89"/>
      <c r="D863" s="150"/>
      <c r="E863" s="152"/>
      <c r="F863" s="151"/>
      <c r="G863" s="151"/>
      <c r="H863" s="151"/>
      <c r="I863" s="151"/>
      <c r="J863" s="152"/>
      <c r="K863" s="152"/>
      <c r="L863" s="152"/>
      <c r="M863" s="152"/>
      <c r="N863" s="150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</row>
    <row r="864" customFormat="false" ht="11.25" hidden="false" customHeight="true" outlineLevel="0" collapsed="false">
      <c r="A864" s="89"/>
      <c r="B864" s="89"/>
      <c r="C864" s="89"/>
      <c r="D864" s="150"/>
      <c r="E864" s="152"/>
      <c r="F864" s="151"/>
      <c r="G864" s="151"/>
      <c r="H864" s="151"/>
      <c r="I864" s="151"/>
      <c r="J864" s="152"/>
      <c r="K864" s="152"/>
      <c r="L864" s="152"/>
      <c r="M864" s="152"/>
      <c r="N864" s="150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</row>
    <row r="865" customFormat="false" ht="11.25" hidden="false" customHeight="true" outlineLevel="0" collapsed="false">
      <c r="A865" s="89"/>
      <c r="B865" s="89"/>
      <c r="C865" s="89"/>
      <c r="D865" s="150"/>
      <c r="E865" s="152"/>
      <c r="F865" s="151"/>
      <c r="G865" s="151"/>
      <c r="H865" s="151"/>
      <c r="I865" s="151"/>
      <c r="J865" s="152"/>
      <c r="K865" s="152"/>
      <c r="L865" s="152"/>
      <c r="M865" s="152"/>
      <c r="N865" s="150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</row>
    <row r="866" customFormat="false" ht="11.25" hidden="false" customHeight="true" outlineLevel="0" collapsed="false">
      <c r="A866" s="89"/>
      <c r="B866" s="89"/>
      <c r="C866" s="89"/>
      <c r="D866" s="150"/>
      <c r="E866" s="152"/>
      <c r="F866" s="151"/>
      <c r="G866" s="151"/>
      <c r="H866" s="151"/>
      <c r="I866" s="151"/>
      <c r="J866" s="152"/>
      <c r="K866" s="152"/>
      <c r="L866" s="152"/>
      <c r="M866" s="152"/>
      <c r="N866" s="150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</row>
    <row r="867" customFormat="false" ht="11.25" hidden="false" customHeight="true" outlineLevel="0" collapsed="false">
      <c r="A867" s="89"/>
      <c r="B867" s="89"/>
      <c r="C867" s="89"/>
      <c r="D867" s="150"/>
      <c r="E867" s="152"/>
      <c r="F867" s="151"/>
      <c r="G867" s="151"/>
      <c r="H867" s="151"/>
      <c r="I867" s="151"/>
      <c r="J867" s="152"/>
      <c r="K867" s="152"/>
      <c r="L867" s="152"/>
      <c r="M867" s="152"/>
      <c r="N867" s="150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</row>
    <row r="868" customFormat="false" ht="11.25" hidden="false" customHeight="true" outlineLevel="0" collapsed="false">
      <c r="A868" s="89"/>
      <c r="B868" s="89"/>
      <c r="C868" s="89"/>
      <c r="D868" s="150"/>
      <c r="E868" s="152"/>
      <c r="F868" s="151"/>
      <c r="G868" s="151"/>
      <c r="H868" s="151"/>
      <c r="I868" s="151"/>
      <c r="J868" s="152"/>
      <c r="K868" s="152"/>
      <c r="L868" s="152"/>
      <c r="M868" s="152"/>
      <c r="N868" s="150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</row>
    <row r="869" customFormat="false" ht="11.25" hidden="false" customHeight="true" outlineLevel="0" collapsed="false">
      <c r="A869" s="89"/>
      <c r="B869" s="89"/>
      <c r="C869" s="89"/>
      <c r="D869" s="150"/>
      <c r="E869" s="152"/>
      <c r="F869" s="151"/>
      <c r="G869" s="151"/>
      <c r="H869" s="151"/>
      <c r="I869" s="151"/>
      <c r="J869" s="152"/>
      <c r="K869" s="152"/>
      <c r="L869" s="152"/>
      <c r="M869" s="152"/>
      <c r="N869" s="150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</row>
    <row r="870" customFormat="false" ht="11.25" hidden="false" customHeight="true" outlineLevel="0" collapsed="false">
      <c r="A870" s="89"/>
      <c r="B870" s="89"/>
      <c r="C870" s="89"/>
      <c r="D870" s="150"/>
      <c r="E870" s="152"/>
      <c r="F870" s="151"/>
      <c r="G870" s="151"/>
      <c r="H870" s="151"/>
      <c r="I870" s="151"/>
      <c r="J870" s="152"/>
      <c r="K870" s="152"/>
      <c r="L870" s="152"/>
      <c r="M870" s="152"/>
      <c r="N870" s="150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</row>
    <row r="871" customFormat="false" ht="11.25" hidden="false" customHeight="true" outlineLevel="0" collapsed="false">
      <c r="A871" s="89"/>
      <c r="B871" s="89"/>
      <c r="C871" s="89"/>
      <c r="D871" s="150"/>
      <c r="E871" s="152"/>
      <c r="F871" s="151"/>
      <c r="G871" s="151"/>
      <c r="H871" s="151"/>
      <c r="I871" s="151"/>
      <c r="J871" s="152"/>
      <c r="K871" s="152"/>
      <c r="L871" s="152"/>
      <c r="M871" s="152"/>
      <c r="N871" s="150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</row>
    <row r="872" customFormat="false" ht="11.25" hidden="false" customHeight="true" outlineLevel="0" collapsed="false">
      <c r="A872" s="89"/>
      <c r="B872" s="89"/>
      <c r="C872" s="89"/>
      <c r="D872" s="150"/>
      <c r="E872" s="152"/>
      <c r="F872" s="151"/>
      <c r="G872" s="151"/>
      <c r="H872" s="151"/>
      <c r="I872" s="151"/>
      <c r="J872" s="152"/>
      <c r="K872" s="152"/>
      <c r="L872" s="152"/>
      <c r="M872" s="152"/>
      <c r="N872" s="150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</row>
    <row r="873" customFormat="false" ht="11.25" hidden="false" customHeight="true" outlineLevel="0" collapsed="false">
      <c r="A873" s="89"/>
      <c r="B873" s="89"/>
      <c r="C873" s="89"/>
      <c r="D873" s="150"/>
      <c r="E873" s="152"/>
      <c r="F873" s="151"/>
      <c r="G873" s="151"/>
      <c r="H873" s="151"/>
      <c r="I873" s="151"/>
      <c r="J873" s="152"/>
      <c r="K873" s="152"/>
      <c r="L873" s="152"/>
      <c r="M873" s="152"/>
      <c r="N873" s="150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</row>
    <row r="874" customFormat="false" ht="11.25" hidden="false" customHeight="true" outlineLevel="0" collapsed="false">
      <c r="A874" s="89"/>
      <c r="B874" s="89"/>
      <c r="C874" s="89"/>
      <c r="D874" s="150"/>
      <c r="E874" s="152"/>
      <c r="F874" s="151"/>
      <c r="G874" s="151"/>
      <c r="H874" s="151"/>
      <c r="I874" s="151"/>
      <c r="J874" s="152"/>
      <c r="K874" s="152"/>
      <c r="L874" s="152"/>
      <c r="M874" s="152"/>
      <c r="N874" s="150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</row>
    <row r="875" customFormat="false" ht="11.25" hidden="false" customHeight="true" outlineLevel="0" collapsed="false">
      <c r="A875" s="89"/>
      <c r="B875" s="89"/>
      <c r="C875" s="89"/>
      <c r="D875" s="150"/>
      <c r="E875" s="152"/>
      <c r="F875" s="151"/>
      <c r="G875" s="151"/>
      <c r="H875" s="151"/>
      <c r="I875" s="151"/>
      <c r="J875" s="152"/>
      <c r="K875" s="152"/>
      <c r="L875" s="152"/>
      <c r="M875" s="152"/>
      <c r="N875" s="150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</row>
    <row r="876" customFormat="false" ht="11.25" hidden="false" customHeight="true" outlineLevel="0" collapsed="false">
      <c r="A876" s="89"/>
      <c r="B876" s="89"/>
      <c r="C876" s="89"/>
      <c r="D876" s="150"/>
      <c r="E876" s="152"/>
      <c r="F876" s="151"/>
      <c r="G876" s="151"/>
      <c r="H876" s="151"/>
      <c r="I876" s="151"/>
      <c r="J876" s="152"/>
      <c r="K876" s="152"/>
      <c r="L876" s="152"/>
      <c r="M876" s="152"/>
      <c r="N876" s="150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</row>
    <row r="877" customFormat="false" ht="11.25" hidden="false" customHeight="true" outlineLevel="0" collapsed="false">
      <c r="A877" s="89"/>
      <c r="B877" s="89"/>
      <c r="C877" s="89"/>
      <c r="D877" s="150"/>
      <c r="E877" s="152"/>
      <c r="F877" s="151"/>
      <c r="G877" s="151"/>
      <c r="H877" s="151"/>
      <c r="I877" s="151"/>
      <c r="J877" s="152"/>
      <c r="K877" s="152"/>
      <c r="L877" s="152"/>
      <c r="M877" s="152"/>
      <c r="N877" s="150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</row>
    <row r="878" customFormat="false" ht="11.25" hidden="false" customHeight="true" outlineLevel="0" collapsed="false">
      <c r="A878" s="89"/>
      <c r="B878" s="89"/>
      <c r="C878" s="89"/>
      <c r="D878" s="150"/>
      <c r="E878" s="152"/>
      <c r="F878" s="151"/>
      <c r="G878" s="151"/>
      <c r="H878" s="151"/>
      <c r="I878" s="151"/>
      <c r="J878" s="152"/>
      <c r="K878" s="152"/>
      <c r="L878" s="152"/>
      <c r="M878" s="152"/>
      <c r="N878" s="150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</row>
    <row r="879" customFormat="false" ht="11.25" hidden="false" customHeight="true" outlineLevel="0" collapsed="false">
      <c r="A879" s="89"/>
      <c r="B879" s="89"/>
      <c r="C879" s="89"/>
      <c r="D879" s="150"/>
      <c r="E879" s="152"/>
      <c r="F879" s="151"/>
      <c r="G879" s="151"/>
      <c r="H879" s="151"/>
      <c r="I879" s="151"/>
      <c r="J879" s="152"/>
      <c r="K879" s="152"/>
      <c r="L879" s="152"/>
      <c r="M879" s="152"/>
      <c r="N879" s="150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</row>
    <row r="880" customFormat="false" ht="11.25" hidden="false" customHeight="true" outlineLevel="0" collapsed="false">
      <c r="A880" s="89"/>
      <c r="B880" s="89"/>
      <c r="C880" s="89"/>
      <c r="D880" s="150"/>
      <c r="E880" s="152"/>
      <c r="F880" s="151"/>
      <c r="G880" s="151"/>
      <c r="H880" s="151"/>
      <c r="I880" s="151"/>
      <c r="J880" s="152"/>
      <c r="K880" s="152"/>
      <c r="L880" s="152"/>
      <c r="M880" s="152"/>
      <c r="N880" s="150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</row>
    <row r="881" customFormat="false" ht="11.25" hidden="false" customHeight="true" outlineLevel="0" collapsed="false">
      <c r="A881" s="89"/>
      <c r="B881" s="89"/>
      <c r="C881" s="89"/>
      <c r="D881" s="150"/>
      <c r="E881" s="152"/>
      <c r="F881" s="151"/>
      <c r="G881" s="151"/>
      <c r="H881" s="151"/>
      <c r="I881" s="151"/>
      <c r="J881" s="152"/>
      <c r="K881" s="152"/>
      <c r="L881" s="152"/>
      <c r="M881" s="152"/>
      <c r="N881" s="150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</row>
    <row r="882" customFormat="false" ht="11.25" hidden="false" customHeight="true" outlineLevel="0" collapsed="false">
      <c r="A882" s="89"/>
      <c r="B882" s="89"/>
      <c r="C882" s="89"/>
      <c r="D882" s="150"/>
      <c r="E882" s="152"/>
      <c r="F882" s="151"/>
      <c r="G882" s="151"/>
      <c r="H882" s="151"/>
      <c r="I882" s="151"/>
      <c r="J882" s="152"/>
      <c r="K882" s="152"/>
      <c r="L882" s="152"/>
      <c r="M882" s="152"/>
      <c r="N882" s="150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</row>
    <row r="883" customFormat="false" ht="11.25" hidden="false" customHeight="true" outlineLevel="0" collapsed="false">
      <c r="A883" s="89"/>
      <c r="B883" s="89"/>
      <c r="C883" s="89"/>
      <c r="D883" s="150"/>
      <c r="E883" s="152"/>
      <c r="F883" s="151"/>
      <c r="G883" s="151"/>
      <c r="H883" s="151"/>
      <c r="I883" s="151"/>
      <c r="J883" s="152"/>
      <c r="K883" s="152"/>
      <c r="L883" s="152"/>
      <c r="M883" s="152"/>
      <c r="N883" s="150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</row>
    <row r="884" customFormat="false" ht="11.25" hidden="false" customHeight="true" outlineLevel="0" collapsed="false">
      <c r="A884" s="89"/>
      <c r="B884" s="89"/>
      <c r="C884" s="89"/>
      <c r="D884" s="150"/>
      <c r="E884" s="152"/>
      <c r="F884" s="151"/>
      <c r="G884" s="151"/>
      <c r="H884" s="151"/>
      <c r="I884" s="151"/>
      <c r="J884" s="152"/>
      <c r="K884" s="152"/>
      <c r="L884" s="152"/>
      <c r="M884" s="152"/>
      <c r="N884" s="150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</row>
    <row r="885" customFormat="false" ht="11.25" hidden="false" customHeight="true" outlineLevel="0" collapsed="false">
      <c r="A885" s="89"/>
      <c r="B885" s="89"/>
      <c r="C885" s="89"/>
      <c r="D885" s="150"/>
      <c r="E885" s="152"/>
      <c r="F885" s="151"/>
      <c r="G885" s="151"/>
      <c r="H885" s="151"/>
      <c r="I885" s="151"/>
      <c r="J885" s="152"/>
      <c r="K885" s="152"/>
      <c r="L885" s="152"/>
      <c r="M885" s="152"/>
      <c r="N885" s="150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</row>
    <row r="886" customFormat="false" ht="11.25" hidden="false" customHeight="true" outlineLevel="0" collapsed="false">
      <c r="A886" s="89"/>
      <c r="B886" s="89"/>
      <c r="C886" s="89"/>
      <c r="D886" s="150"/>
      <c r="E886" s="152"/>
      <c r="F886" s="151"/>
      <c r="G886" s="151"/>
      <c r="H886" s="151"/>
      <c r="I886" s="151"/>
      <c r="J886" s="152"/>
      <c r="K886" s="152"/>
      <c r="L886" s="152"/>
      <c r="M886" s="152"/>
      <c r="N886" s="150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</row>
    <row r="887" customFormat="false" ht="11.25" hidden="false" customHeight="true" outlineLevel="0" collapsed="false">
      <c r="A887" s="89"/>
      <c r="B887" s="89"/>
      <c r="C887" s="89"/>
      <c r="D887" s="150"/>
      <c r="E887" s="152"/>
      <c r="F887" s="151"/>
      <c r="G887" s="151"/>
      <c r="H887" s="151"/>
      <c r="I887" s="151"/>
      <c r="J887" s="152"/>
      <c r="K887" s="152"/>
      <c r="L887" s="152"/>
      <c r="M887" s="152"/>
      <c r="N887" s="150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</row>
    <row r="888" customFormat="false" ht="11.25" hidden="false" customHeight="true" outlineLevel="0" collapsed="false">
      <c r="A888" s="89"/>
      <c r="B888" s="89"/>
      <c r="C888" s="89"/>
      <c r="D888" s="150"/>
      <c r="E888" s="152"/>
      <c r="F888" s="151"/>
      <c r="G888" s="151"/>
      <c r="H888" s="151"/>
      <c r="I888" s="151"/>
      <c r="J888" s="152"/>
      <c r="K888" s="152"/>
      <c r="L888" s="152"/>
      <c r="M888" s="152"/>
      <c r="N888" s="150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</row>
    <row r="889" customFormat="false" ht="11.25" hidden="false" customHeight="true" outlineLevel="0" collapsed="false">
      <c r="A889" s="89"/>
      <c r="B889" s="89"/>
      <c r="C889" s="89"/>
      <c r="D889" s="150"/>
      <c r="E889" s="152"/>
      <c r="F889" s="151"/>
      <c r="G889" s="151"/>
      <c r="H889" s="151"/>
      <c r="I889" s="151"/>
      <c r="J889" s="152"/>
      <c r="K889" s="152"/>
      <c r="L889" s="152"/>
      <c r="M889" s="152"/>
      <c r="N889" s="150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</row>
    <row r="890" customFormat="false" ht="11.25" hidden="false" customHeight="true" outlineLevel="0" collapsed="false">
      <c r="A890" s="89"/>
      <c r="B890" s="89"/>
      <c r="C890" s="89"/>
      <c r="D890" s="150"/>
      <c r="E890" s="152"/>
      <c r="F890" s="151"/>
      <c r="G890" s="151"/>
      <c r="H890" s="151"/>
      <c r="I890" s="151"/>
      <c r="J890" s="152"/>
      <c r="K890" s="152"/>
      <c r="L890" s="152"/>
      <c r="M890" s="152"/>
      <c r="N890" s="150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</row>
    <row r="891" customFormat="false" ht="11.25" hidden="false" customHeight="true" outlineLevel="0" collapsed="false">
      <c r="A891" s="89"/>
      <c r="B891" s="89"/>
      <c r="C891" s="89"/>
      <c r="D891" s="150"/>
      <c r="E891" s="152"/>
      <c r="F891" s="151"/>
      <c r="G891" s="151"/>
      <c r="H891" s="151"/>
      <c r="I891" s="151"/>
      <c r="J891" s="152"/>
      <c r="K891" s="152"/>
      <c r="L891" s="152"/>
      <c r="M891" s="152"/>
      <c r="N891" s="150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</row>
    <row r="892" customFormat="false" ht="11.25" hidden="false" customHeight="true" outlineLevel="0" collapsed="false">
      <c r="A892" s="89"/>
      <c r="B892" s="89"/>
      <c r="C892" s="89"/>
      <c r="D892" s="150"/>
      <c r="E892" s="152"/>
      <c r="F892" s="151"/>
      <c r="G892" s="151"/>
      <c r="H892" s="151"/>
      <c r="I892" s="151"/>
      <c r="J892" s="152"/>
      <c r="K892" s="152"/>
      <c r="L892" s="152"/>
      <c r="M892" s="152"/>
      <c r="N892" s="150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</row>
    <row r="893" customFormat="false" ht="11.25" hidden="false" customHeight="true" outlineLevel="0" collapsed="false">
      <c r="A893" s="89"/>
      <c r="B893" s="89"/>
      <c r="C893" s="89"/>
      <c r="D893" s="150"/>
      <c r="E893" s="152"/>
      <c r="F893" s="151"/>
      <c r="G893" s="151"/>
      <c r="H893" s="151"/>
      <c r="I893" s="151"/>
      <c r="J893" s="152"/>
      <c r="K893" s="152"/>
      <c r="L893" s="152"/>
      <c r="M893" s="152"/>
      <c r="N893" s="150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</row>
    <row r="894" customFormat="false" ht="11.25" hidden="false" customHeight="true" outlineLevel="0" collapsed="false">
      <c r="A894" s="89"/>
      <c r="B894" s="89"/>
      <c r="C894" s="89"/>
      <c r="D894" s="150"/>
      <c r="E894" s="152"/>
      <c r="F894" s="151"/>
      <c r="G894" s="151"/>
      <c r="H894" s="151"/>
      <c r="I894" s="151"/>
      <c r="J894" s="152"/>
      <c r="K894" s="152"/>
      <c r="L894" s="152"/>
      <c r="M894" s="152"/>
      <c r="N894" s="150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</row>
    <row r="895" customFormat="false" ht="11.25" hidden="false" customHeight="true" outlineLevel="0" collapsed="false">
      <c r="A895" s="89"/>
      <c r="B895" s="89"/>
      <c r="C895" s="89"/>
      <c r="D895" s="150"/>
      <c r="E895" s="152"/>
      <c r="F895" s="151"/>
      <c r="G895" s="151"/>
      <c r="H895" s="151"/>
      <c r="I895" s="151"/>
      <c r="J895" s="152"/>
      <c r="K895" s="152"/>
      <c r="L895" s="152"/>
      <c r="M895" s="152"/>
      <c r="N895" s="150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</row>
    <row r="896" customFormat="false" ht="11.25" hidden="false" customHeight="true" outlineLevel="0" collapsed="false">
      <c r="A896" s="89"/>
      <c r="B896" s="89"/>
      <c r="C896" s="89"/>
      <c r="D896" s="150"/>
      <c r="E896" s="152"/>
      <c r="F896" s="151"/>
      <c r="G896" s="151"/>
      <c r="H896" s="151"/>
      <c r="I896" s="151"/>
      <c r="J896" s="152"/>
      <c r="K896" s="152"/>
      <c r="L896" s="152"/>
      <c r="M896" s="152"/>
      <c r="N896" s="150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</row>
    <row r="897" customFormat="false" ht="11.25" hidden="false" customHeight="true" outlineLevel="0" collapsed="false">
      <c r="A897" s="89"/>
      <c r="B897" s="89"/>
      <c r="C897" s="89"/>
      <c r="D897" s="150"/>
      <c r="E897" s="152"/>
      <c r="F897" s="151"/>
      <c r="G897" s="151"/>
      <c r="H897" s="151"/>
      <c r="I897" s="151"/>
      <c r="J897" s="152"/>
      <c r="K897" s="152"/>
      <c r="L897" s="152"/>
      <c r="M897" s="152"/>
      <c r="N897" s="150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</row>
    <row r="898" customFormat="false" ht="11.25" hidden="false" customHeight="true" outlineLevel="0" collapsed="false">
      <c r="A898" s="89"/>
      <c r="B898" s="89"/>
      <c r="C898" s="89"/>
      <c r="D898" s="150"/>
      <c r="E898" s="152"/>
      <c r="F898" s="151"/>
      <c r="G898" s="151"/>
      <c r="H898" s="151"/>
      <c r="I898" s="151"/>
      <c r="J898" s="152"/>
      <c r="K898" s="152"/>
      <c r="L898" s="152"/>
      <c r="M898" s="152"/>
      <c r="N898" s="150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</row>
    <row r="899" customFormat="false" ht="11.25" hidden="false" customHeight="true" outlineLevel="0" collapsed="false">
      <c r="A899" s="89"/>
      <c r="B899" s="89"/>
      <c r="C899" s="89"/>
      <c r="D899" s="150"/>
      <c r="E899" s="152"/>
      <c r="F899" s="151"/>
      <c r="G899" s="151"/>
      <c r="H899" s="151"/>
      <c r="I899" s="151"/>
      <c r="J899" s="152"/>
      <c r="K899" s="152"/>
      <c r="L899" s="152"/>
      <c r="M899" s="152"/>
      <c r="N899" s="150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</row>
    <row r="900" customFormat="false" ht="11.25" hidden="false" customHeight="true" outlineLevel="0" collapsed="false">
      <c r="A900" s="89"/>
      <c r="B900" s="89"/>
      <c r="C900" s="89"/>
      <c r="D900" s="150"/>
      <c r="E900" s="152"/>
      <c r="F900" s="151"/>
      <c r="G900" s="151"/>
      <c r="H900" s="151"/>
      <c r="I900" s="151"/>
      <c r="J900" s="152"/>
      <c r="K900" s="152"/>
      <c r="L900" s="152"/>
      <c r="M900" s="152"/>
      <c r="N900" s="150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</row>
    <row r="901" customFormat="false" ht="11.25" hidden="false" customHeight="true" outlineLevel="0" collapsed="false">
      <c r="A901" s="89"/>
      <c r="B901" s="89"/>
      <c r="C901" s="89"/>
      <c r="D901" s="150"/>
      <c r="E901" s="152"/>
      <c r="F901" s="151"/>
      <c r="G901" s="151"/>
      <c r="H901" s="151"/>
      <c r="I901" s="151"/>
      <c r="J901" s="152"/>
      <c r="K901" s="152"/>
      <c r="L901" s="152"/>
      <c r="M901" s="152"/>
      <c r="N901" s="150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</row>
    <row r="902" customFormat="false" ht="11.25" hidden="false" customHeight="true" outlineLevel="0" collapsed="false">
      <c r="A902" s="89"/>
      <c r="B902" s="89"/>
      <c r="C902" s="89"/>
      <c r="D902" s="150"/>
      <c r="E902" s="152"/>
      <c r="F902" s="151"/>
      <c r="G902" s="151"/>
      <c r="H902" s="151"/>
      <c r="I902" s="151"/>
      <c r="J902" s="152"/>
      <c r="K902" s="152"/>
      <c r="L902" s="152"/>
      <c r="M902" s="152"/>
      <c r="N902" s="150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</row>
    <row r="903" customFormat="false" ht="11.25" hidden="false" customHeight="true" outlineLevel="0" collapsed="false">
      <c r="A903" s="89"/>
      <c r="B903" s="89"/>
      <c r="C903" s="89"/>
      <c r="D903" s="150"/>
      <c r="E903" s="152"/>
      <c r="F903" s="151"/>
      <c r="G903" s="151"/>
      <c r="H903" s="151"/>
      <c r="I903" s="151"/>
      <c r="J903" s="152"/>
      <c r="K903" s="152"/>
      <c r="L903" s="152"/>
      <c r="M903" s="152"/>
      <c r="N903" s="150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</row>
    <row r="904" customFormat="false" ht="11.25" hidden="false" customHeight="true" outlineLevel="0" collapsed="false">
      <c r="A904" s="89"/>
      <c r="B904" s="89"/>
      <c r="C904" s="89"/>
      <c r="D904" s="150"/>
      <c r="E904" s="152"/>
      <c r="F904" s="151"/>
      <c r="G904" s="151"/>
      <c r="H904" s="151"/>
      <c r="I904" s="151"/>
      <c r="J904" s="152"/>
      <c r="K904" s="152"/>
      <c r="L904" s="152"/>
      <c r="M904" s="152"/>
      <c r="N904" s="150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</row>
    <row r="905" customFormat="false" ht="11.25" hidden="false" customHeight="true" outlineLevel="0" collapsed="false">
      <c r="A905" s="89"/>
      <c r="B905" s="89"/>
      <c r="C905" s="89"/>
      <c r="D905" s="150"/>
      <c r="E905" s="152"/>
      <c r="F905" s="151"/>
      <c r="G905" s="151"/>
      <c r="H905" s="151"/>
      <c r="I905" s="151"/>
      <c r="J905" s="152"/>
      <c r="K905" s="152"/>
      <c r="L905" s="152"/>
      <c r="M905" s="152"/>
      <c r="N905" s="150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</row>
    <row r="906" customFormat="false" ht="11.25" hidden="false" customHeight="true" outlineLevel="0" collapsed="false">
      <c r="A906" s="89"/>
      <c r="B906" s="89"/>
      <c r="C906" s="89"/>
      <c r="D906" s="150"/>
      <c r="E906" s="152"/>
      <c r="F906" s="151"/>
      <c r="G906" s="151"/>
      <c r="H906" s="151"/>
      <c r="I906" s="151"/>
      <c r="J906" s="152"/>
      <c r="K906" s="152"/>
      <c r="L906" s="152"/>
      <c r="M906" s="152"/>
      <c r="N906" s="150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</row>
    <row r="907" customFormat="false" ht="11.25" hidden="false" customHeight="true" outlineLevel="0" collapsed="false">
      <c r="A907" s="89"/>
      <c r="B907" s="89"/>
      <c r="C907" s="89"/>
      <c r="D907" s="150"/>
      <c r="E907" s="152"/>
      <c r="F907" s="151"/>
      <c r="G907" s="151"/>
      <c r="H907" s="151"/>
      <c r="I907" s="151"/>
      <c r="J907" s="152"/>
      <c r="K907" s="152"/>
      <c r="L907" s="152"/>
      <c r="M907" s="152"/>
      <c r="N907" s="150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</row>
    <row r="908" customFormat="false" ht="11.25" hidden="false" customHeight="true" outlineLevel="0" collapsed="false">
      <c r="A908" s="89"/>
      <c r="B908" s="89"/>
      <c r="C908" s="89"/>
      <c r="D908" s="150"/>
      <c r="E908" s="152"/>
      <c r="F908" s="151"/>
      <c r="G908" s="151"/>
      <c r="H908" s="151"/>
      <c r="I908" s="151"/>
      <c r="J908" s="152"/>
      <c r="K908" s="152"/>
      <c r="L908" s="152"/>
      <c r="M908" s="152"/>
      <c r="N908" s="150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</row>
    <row r="909" customFormat="false" ht="11.25" hidden="false" customHeight="true" outlineLevel="0" collapsed="false">
      <c r="A909" s="89"/>
      <c r="B909" s="89"/>
      <c r="C909" s="89"/>
      <c r="D909" s="150"/>
      <c r="E909" s="152"/>
      <c r="F909" s="151"/>
      <c r="G909" s="151"/>
      <c r="H909" s="151"/>
      <c r="I909" s="151"/>
      <c r="J909" s="152"/>
      <c r="K909" s="152"/>
      <c r="L909" s="152"/>
      <c r="M909" s="152"/>
      <c r="N909" s="150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</row>
    <row r="910" customFormat="false" ht="11.25" hidden="false" customHeight="true" outlineLevel="0" collapsed="false">
      <c r="A910" s="89"/>
      <c r="B910" s="89"/>
      <c r="C910" s="89"/>
      <c r="D910" s="150"/>
      <c r="E910" s="152"/>
      <c r="F910" s="151"/>
      <c r="G910" s="151"/>
      <c r="H910" s="151"/>
      <c r="I910" s="151"/>
      <c r="J910" s="152"/>
      <c r="K910" s="152"/>
      <c r="L910" s="152"/>
      <c r="M910" s="152"/>
      <c r="N910" s="150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</row>
    <row r="911" customFormat="false" ht="11.25" hidden="false" customHeight="true" outlineLevel="0" collapsed="false">
      <c r="A911" s="89"/>
      <c r="B911" s="89"/>
      <c r="C911" s="89"/>
      <c r="D911" s="150"/>
      <c r="E911" s="152"/>
      <c r="F911" s="151"/>
      <c r="G911" s="151"/>
      <c r="H911" s="151"/>
      <c r="I911" s="151"/>
      <c r="J911" s="152"/>
      <c r="K911" s="152"/>
      <c r="L911" s="152"/>
      <c r="M911" s="152"/>
      <c r="N911" s="150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</row>
    <row r="912" customFormat="false" ht="11.25" hidden="false" customHeight="true" outlineLevel="0" collapsed="false">
      <c r="A912" s="89"/>
      <c r="B912" s="89"/>
      <c r="C912" s="89"/>
      <c r="D912" s="150"/>
      <c r="E912" s="152"/>
      <c r="F912" s="151"/>
      <c r="G912" s="151"/>
      <c r="H912" s="151"/>
      <c r="I912" s="151"/>
      <c r="J912" s="152"/>
      <c r="K912" s="152"/>
      <c r="L912" s="152"/>
      <c r="M912" s="152"/>
      <c r="N912" s="150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</row>
    <row r="913" customFormat="false" ht="11.25" hidden="false" customHeight="true" outlineLevel="0" collapsed="false">
      <c r="A913" s="89"/>
      <c r="B913" s="89"/>
      <c r="C913" s="89"/>
      <c r="D913" s="150"/>
      <c r="E913" s="152"/>
      <c r="F913" s="151"/>
      <c r="G913" s="151"/>
      <c r="H913" s="151"/>
      <c r="I913" s="151"/>
      <c r="J913" s="152"/>
      <c r="K913" s="152"/>
      <c r="L913" s="152"/>
      <c r="M913" s="152"/>
      <c r="N913" s="150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</row>
    <row r="914" customFormat="false" ht="11.25" hidden="false" customHeight="true" outlineLevel="0" collapsed="false">
      <c r="A914" s="89"/>
      <c r="B914" s="89"/>
      <c r="C914" s="89"/>
      <c r="D914" s="150"/>
      <c r="E914" s="152"/>
      <c r="F914" s="151"/>
      <c r="G914" s="151"/>
      <c r="H914" s="151"/>
      <c r="I914" s="151"/>
      <c r="J914" s="152"/>
      <c r="K914" s="152"/>
      <c r="L914" s="152"/>
      <c r="M914" s="152"/>
      <c r="N914" s="150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</row>
    <row r="915" customFormat="false" ht="11.25" hidden="false" customHeight="true" outlineLevel="0" collapsed="false">
      <c r="A915" s="89"/>
      <c r="B915" s="89"/>
      <c r="C915" s="89"/>
      <c r="D915" s="150"/>
      <c r="E915" s="152"/>
      <c r="F915" s="151"/>
      <c r="G915" s="151"/>
      <c r="H915" s="151"/>
      <c r="I915" s="151"/>
      <c r="J915" s="152"/>
      <c r="K915" s="152"/>
      <c r="L915" s="152"/>
      <c r="M915" s="152"/>
      <c r="N915" s="150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</row>
    <row r="916" customFormat="false" ht="11.25" hidden="false" customHeight="true" outlineLevel="0" collapsed="false">
      <c r="A916" s="89"/>
      <c r="B916" s="89"/>
      <c r="C916" s="89"/>
      <c r="D916" s="150"/>
      <c r="E916" s="152"/>
      <c r="F916" s="151"/>
      <c r="G916" s="151"/>
      <c r="H916" s="151"/>
      <c r="I916" s="151"/>
      <c r="J916" s="152"/>
      <c r="K916" s="152"/>
      <c r="L916" s="152"/>
      <c r="M916" s="152"/>
      <c r="N916" s="150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</row>
    <row r="917" customFormat="false" ht="11.25" hidden="false" customHeight="true" outlineLevel="0" collapsed="false">
      <c r="A917" s="89"/>
      <c r="B917" s="89"/>
      <c r="C917" s="89"/>
      <c r="D917" s="150"/>
      <c r="E917" s="152"/>
      <c r="F917" s="151"/>
      <c r="G917" s="151"/>
      <c r="H917" s="151"/>
      <c r="I917" s="151"/>
      <c r="J917" s="152"/>
      <c r="K917" s="152"/>
      <c r="L917" s="152"/>
      <c r="M917" s="152"/>
      <c r="N917" s="150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</row>
    <row r="918" customFormat="false" ht="11.25" hidden="false" customHeight="true" outlineLevel="0" collapsed="false">
      <c r="A918" s="89"/>
      <c r="B918" s="89"/>
      <c r="C918" s="89"/>
      <c r="D918" s="150"/>
      <c r="E918" s="152"/>
      <c r="F918" s="151"/>
      <c r="G918" s="151"/>
      <c r="H918" s="151"/>
      <c r="I918" s="151"/>
      <c r="J918" s="152"/>
      <c r="K918" s="152"/>
      <c r="L918" s="152"/>
      <c r="M918" s="152"/>
      <c r="N918" s="150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</row>
    <row r="919" customFormat="false" ht="11.25" hidden="false" customHeight="true" outlineLevel="0" collapsed="false">
      <c r="A919" s="89"/>
      <c r="B919" s="89"/>
      <c r="C919" s="89"/>
      <c r="D919" s="150"/>
      <c r="E919" s="152"/>
      <c r="F919" s="151"/>
      <c r="G919" s="151"/>
      <c r="H919" s="151"/>
      <c r="I919" s="151"/>
      <c r="J919" s="152"/>
      <c r="K919" s="152"/>
      <c r="L919" s="152"/>
      <c r="M919" s="152"/>
      <c r="N919" s="150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</row>
    <row r="920" customFormat="false" ht="11.25" hidden="false" customHeight="true" outlineLevel="0" collapsed="false">
      <c r="A920" s="89"/>
      <c r="B920" s="89"/>
      <c r="C920" s="89"/>
      <c r="D920" s="150"/>
      <c r="E920" s="152"/>
      <c r="F920" s="151"/>
      <c r="G920" s="151"/>
      <c r="H920" s="151"/>
      <c r="I920" s="151"/>
      <c r="J920" s="152"/>
      <c r="K920" s="152"/>
      <c r="L920" s="152"/>
      <c r="M920" s="152"/>
      <c r="N920" s="150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</row>
    <row r="921" customFormat="false" ht="11.25" hidden="false" customHeight="true" outlineLevel="0" collapsed="false">
      <c r="A921" s="89"/>
      <c r="B921" s="89"/>
      <c r="C921" s="89"/>
      <c r="D921" s="150"/>
      <c r="E921" s="152"/>
      <c r="F921" s="151"/>
      <c r="G921" s="151"/>
      <c r="H921" s="151"/>
      <c r="I921" s="151"/>
      <c r="J921" s="152"/>
      <c r="K921" s="152"/>
      <c r="L921" s="152"/>
      <c r="M921" s="152"/>
      <c r="N921" s="150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</row>
    <row r="922" customFormat="false" ht="11.25" hidden="false" customHeight="true" outlineLevel="0" collapsed="false">
      <c r="A922" s="89"/>
      <c r="B922" s="89"/>
      <c r="C922" s="89"/>
      <c r="D922" s="150"/>
      <c r="E922" s="152"/>
      <c r="F922" s="151"/>
      <c r="G922" s="151"/>
      <c r="H922" s="151"/>
      <c r="I922" s="151"/>
      <c r="J922" s="152"/>
      <c r="K922" s="152"/>
      <c r="L922" s="152"/>
      <c r="M922" s="152"/>
      <c r="N922" s="150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</row>
    <row r="923" customFormat="false" ht="11.25" hidden="false" customHeight="true" outlineLevel="0" collapsed="false">
      <c r="A923" s="89"/>
      <c r="B923" s="89"/>
      <c r="C923" s="89"/>
      <c r="D923" s="150"/>
      <c r="E923" s="152"/>
      <c r="F923" s="151"/>
      <c r="G923" s="151"/>
      <c r="H923" s="151"/>
      <c r="I923" s="151"/>
      <c r="J923" s="152"/>
      <c r="K923" s="152"/>
      <c r="L923" s="152"/>
      <c r="M923" s="152"/>
      <c r="N923" s="150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</row>
    <row r="924" customFormat="false" ht="11.25" hidden="false" customHeight="true" outlineLevel="0" collapsed="false">
      <c r="A924" s="89"/>
      <c r="B924" s="89"/>
      <c r="C924" s="89"/>
      <c r="D924" s="150"/>
      <c r="E924" s="152"/>
      <c r="F924" s="151"/>
      <c r="G924" s="151"/>
      <c r="H924" s="151"/>
      <c r="I924" s="151"/>
      <c r="J924" s="152"/>
      <c r="K924" s="152"/>
      <c r="L924" s="152"/>
      <c r="M924" s="152"/>
      <c r="N924" s="150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</row>
    <row r="925" customFormat="false" ht="11.25" hidden="false" customHeight="true" outlineLevel="0" collapsed="false">
      <c r="A925" s="89"/>
      <c r="B925" s="89"/>
      <c r="C925" s="89"/>
      <c r="D925" s="150"/>
      <c r="E925" s="152"/>
      <c r="F925" s="151"/>
      <c r="G925" s="151"/>
      <c r="H925" s="151"/>
      <c r="I925" s="151"/>
      <c r="J925" s="152"/>
      <c r="K925" s="152"/>
      <c r="L925" s="152"/>
      <c r="M925" s="152"/>
      <c r="N925" s="150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</row>
    <row r="926" customFormat="false" ht="11.25" hidden="false" customHeight="true" outlineLevel="0" collapsed="false">
      <c r="A926" s="89"/>
      <c r="B926" s="89"/>
      <c r="C926" s="89"/>
      <c r="D926" s="150"/>
      <c r="E926" s="152"/>
      <c r="F926" s="151"/>
      <c r="G926" s="151"/>
      <c r="H926" s="151"/>
      <c r="I926" s="151"/>
      <c r="J926" s="152"/>
      <c r="K926" s="152"/>
      <c r="L926" s="152"/>
      <c r="M926" s="152"/>
      <c r="N926" s="150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</row>
    <row r="927" customFormat="false" ht="11.25" hidden="false" customHeight="true" outlineLevel="0" collapsed="false">
      <c r="A927" s="89"/>
      <c r="B927" s="89"/>
      <c r="C927" s="89"/>
      <c r="D927" s="150"/>
      <c r="E927" s="152"/>
      <c r="F927" s="151"/>
      <c r="G927" s="151"/>
      <c r="H927" s="151"/>
      <c r="I927" s="151"/>
      <c r="J927" s="152"/>
      <c r="K927" s="152"/>
      <c r="L927" s="152"/>
      <c r="M927" s="152"/>
      <c r="N927" s="150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</row>
    <row r="928" customFormat="false" ht="11.25" hidden="false" customHeight="true" outlineLevel="0" collapsed="false">
      <c r="A928" s="89"/>
      <c r="B928" s="89"/>
      <c r="C928" s="89"/>
      <c r="D928" s="150"/>
      <c r="E928" s="152"/>
      <c r="F928" s="151"/>
      <c r="G928" s="151"/>
      <c r="H928" s="151"/>
      <c r="I928" s="151"/>
      <c r="J928" s="152"/>
      <c r="K928" s="152"/>
      <c r="L928" s="152"/>
      <c r="M928" s="152"/>
      <c r="N928" s="150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</row>
    <row r="929" customFormat="false" ht="11.25" hidden="false" customHeight="true" outlineLevel="0" collapsed="false">
      <c r="A929" s="89"/>
      <c r="B929" s="89"/>
      <c r="C929" s="89"/>
      <c r="D929" s="150"/>
      <c r="E929" s="152"/>
      <c r="F929" s="151"/>
      <c r="G929" s="151"/>
      <c r="H929" s="151"/>
      <c r="I929" s="151"/>
      <c r="J929" s="152"/>
      <c r="K929" s="152"/>
      <c r="L929" s="152"/>
      <c r="M929" s="152"/>
      <c r="N929" s="150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</row>
    <row r="930" customFormat="false" ht="11.25" hidden="false" customHeight="true" outlineLevel="0" collapsed="false">
      <c r="A930" s="89"/>
      <c r="B930" s="89"/>
      <c r="C930" s="89"/>
      <c r="D930" s="150"/>
      <c r="E930" s="152"/>
      <c r="F930" s="151"/>
      <c r="G930" s="151"/>
      <c r="H930" s="151"/>
      <c r="I930" s="151"/>
      <c r="J930" s="152"/>
      <c r="K930" s="152"/>
      <c r="L930" s="152"/>
      <c r="M930" s="152"/>
      <c r="N930" s="150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</row>
    <row r="931" customFormat="false" ht="11.25" hidden="false" customHeight="true" outlineLevel="0" collapsed="false">
      <c r="A931" s="89"/>
      <c r="B931" s="89"/>
      <c r="C931" s="89"/>
      <c r="D931" s="150"/>
      <c r="E931" s="152"/>
      <c r="F931" s="151"/>
      <c r="G931" s="151"/>
      <c r="H931" s="151"/>
      <c r="I931" s="151"/>
      <c r="J931" s="152"/>
      <c r="K931" s="152"/>
      <c r="L931" s="152"/>
      <c r="M931" s="152"/>
      <c r="N931" s="150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</row>
    <row r="932" customFormat="false" ht="11.25" hidden="false" customHeight="true" outlineLevel="0" collapsed="false">
      <c r="A932" s="89"/>
      <c r="B932" s="89"/>
      <c r="C932" s="89"/>
      <c r="D932" s="150"/>
      <c r="E932" s="152"/>
      <c r="F932" s="151"/>
      <c r="G932" s="151"/>
      <c r="H932" s="151"/>
      <c r="I932" s="151"/>
      <c r="J932" s="152"/>
      <c r="K932" s="152"/>
      <c r="L932" s="152"/>
      <c r="M932" s="152"/>
      <c r="N932" s="150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</row>
    <row r="933" customFormat="false" ht="11.25" hidden="false" customHeight="true" outlineLevel="0" collapsed="false">
      <c r="A933" s="89"/>
      <c r="B933" s="89"/>
      <c r="C933" s="89"/>
      <c r="D933" s="150"/>
      <c r="E933" s="152"/>
      <c r="F933" s="151"/>
      <c r="G933" s="151"/>
      <c r="H933" s="151"/>
      <c r="I933" s="151"/>
      <c r="J933" s="152"/>
      <c r="K933" s="152"/>
      <c r="L933" s="152"/>
      <c r="M933" s="152"/>
      <c r="N933" s="150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</row>
    <row r="934" customFormat="false" ht="11.25" hidden="false" customHeight="true" outlineLevel="0" collapsed="false">
      <c r="A934" s="89"/>
      <c r="B934" s="89"/>
      <c r="C934" s="89"/>
      <c r="D934" s="150"/>
      <c r="E934" s="152"/>
      <c r="F934" s="151"/>
      <c r="G934" s="151"/>
      <c r="H934" s="151"/>
      <c r="I934" s="151"/>
      <c r="J934" s="152"/>
      <c r="K934" s="152"/>
      <c r="L934" s="152"/>
      <c r="M934" s="152"/>
      <c r="N934" s="150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</row>
    <row r="935" customFormat="false" ht="11.25" hidden="false" customHeight="true" outlineLevel="0" collapsed="false">
      <c r="A935" s="89"/>
      <c r="B935" s="89"/>
      <c r="C935" s="89"/>
      <c r="D935" s="150"/>
      <c r="E935" s="152"/>
      <c r="F935" s="151"/>
      <c r="G935" s="151"/>
      <c r="H935" s="151"/>
      <c r="I935" s="151"/>
      <c r="J935" s="152"/>
      <c r="K935" s="152"/>
      <c r="L935" s="152"/>
      <c r="M935" s="152"/>
      <c r="N935" s="150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</row>
    <row r="936" customFormat="false" ht="11.25" hidden="false" customHeight="true" outlineLevel="0" collapsed="false">
      <c r="A936" s="89"/>
      <c r="B936" s="89"/>
      <c r="C936" s="89"/>
      <c r="D936" s="150"/>
      <c r="E936" s="152"/>
      <c r="F936" s="151"/>
      <c r="G936" s="151"/>
      <c r="H936" s="151"/>
      <c r="I936" s="151"/>
      <c r="J936" s="152"/>
      <c r="K936" s="152"/>
      <c r="L936" s="152"/>
      <c r="M936" s="152"/>
      <c r="N936" s="150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</row>
    <row r="937" customFormat="false" ht="11.25" hidden="false" customHeight="true" outlineLevel="0" collapsed="false">
      <c r="A937" s="89"/>
      <c r="B937" s="89"/>
      <c r="C937" s="89"/>
      <c r="D937" s="150"/>
      <c r="E937" s="152"/>
      <c r="F937" s="151"/>
      <c r="G937" s="151"/>
      <c r="H937" s="151"/>
      <c r="I937" s="151"/>
      <c r="J937" s="152"/>
      <c r="K937" s="152"/>
      <c r="L937" s="152"/>
      <c r="M937" s="152"/>
      <c r="N937" s="150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</row>
    <row r="938" customFormat="false" ht="11.25" hidden="false" customHeight="true" outlineLevel="0" collapsed="false">
      <c r="A938" s="89"/>
      <c r="B938" s="89"/>
      <c r="C938" s="89"/>
      <c r="D938" s="150"/>
      <c r="E938" s="152"/>
      <c r="F938" s="151"/>
      <c r="G938" s="151"/>
      <c r="H938" s="151"/>
      <c r="I938" s="151"/>
      <c r="J938" s="152"/>
      <c r="K938" s="152"/>
      <c r="L938" s="152"/>
      <c r="M938" s="152"/>
      <c r="N938" s="150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</row>
    <row r="939" customFormat="false" ht="11.25" hidden="false" customHeight="true" outlineLevel="0" collapsed="false">
      <c r="A939" s="89"/>
      <c r="B939" s="89"/>
      <c r="C939" s="89"/>
      <c r="D939" s="150"/>
      <c r="E939" s="152"/>
      <c r="F939" s="151"/>
      <c r="G939" s="151"/>
      <c r="H939" s="151"/>
      <c r="I939" s="151"/>
      <c r="J939" s="152"/>
      <c r="K939" s="152"/>
      <c r="L939" s="152"/>
      <c r="M939" s="152"/>
      <c r="N939" s="150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</row>
    <row r="940" customFormat="false" ht="11.25" hidden="false" customHeight="true" outlineLevel="0" collapsed="false">
      <c r="A940" s="89"/>
      <c r="B940" s="89"/>
      <c r="C940" s="89"/>
      <c r="D940" s="150"/>
      <c r="E940" s="152"/>
      <c r="F940" s="151"/>
      <c r="G940" s="151"/>
      <c r="H940" s="151"/>
      <c r="I940" s="151"/>
      <c r="J940" s="152"/>
      <c r="K940" s="152"/>
      <c r="L940" s="152"/>
      <c r="M940" s="152"/>
      <c r="N940" s="150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</row>
    <row r="941" customFormat="false" ht="11.25" hidden="false" customHeight="true" outlineLevel="0" collapsed="false">
      <c r="A941" s="89"/>
      <c r="B941" s="89"/>
      <c r="C941" s="89"/>
      <c r="D941" s="150"/>
      <c r="E941" s="152"/>
      <c r="F941" s="151"/>
      <c r="G941" s="151"/>
      <c r="H941" s="151"/>
      <c r="I941" s="151"/>
      <c r="J941" s="152"/>
      <c r="K941" s="152"/>
      <c r="L941" s="152"/>
      <c r="M941" s="152"/>
      <c r="N941" s="150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</row>
    <row r="942" customFormat="false" ht="11.25" hidden="false" customHeight="true" outlineLevel="0" collapsed="false">
      <c r="A942" s="89"/>
      <c r="B942" s="89"/>
      <c r="C942" s="89"/>
      <c r="D942" s="150"/>
      <c r="E942" s="152"/>
      <c r="F942" s="151"/>
      <c r="G942" s="151"/>
      <c r="H942" s="151"/>
      <c r="I942" s="151"/>
      <c r="J942" s="152"/>
      <c r="K942" s="152"/>
      <c r="L942" s="152"/>
      <c r="M942" s="152"/>
      <c r="N942" s="150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</row>
    <row r="943" customFormat="false" ht="11.25" hidden="false" customHeight="true" outlineLevel="0" collapsed="false">
      <c r="A943" s="89"/>
      <c r="B943" s="89"/>
      <c r="C943" s="89"/>
      <c r="D943" s="150"/>
      <c r="E943" s="152"/>
      <c r="F943" s="151"/>
      <c r="G943" s="151"/>
      <c r="H943" s="151"/>
      <c r="I943" s="151"/>
      <c r="J943" s="152"/>
      <c r="K943" s="152"/>
      <c r="L943" s="152"/>
      <c r="M943" s="152"/>
      <c r="N943" s="150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</row>
    <row r="944" customFormat="false" ht="11.25" hidden="false" customHeight="true" outlineLevel="0" collapsed="false">
      <c r="A944" s="89"/>
      <c r="B944" s="89"/>
      <c r="C944" s="89"/>
      <c r="D944" s="150"/>
      <c r="E944" s="152"/>
      <c r="F944" s="151"/>
      <c r="G944" s="151"/>
      <c r="H944" s="151"/>
      <c r="I944" s="151"/>
      <c r="J944" s="152"/>
      <c r="K944" s="152"/>
      <c r="L944" s="152"/>
      <c r="M944" s="152"/>
      <c r="N944" s="150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</row>
    <row r="945" customFormat="false" ht="11.25" hidden="false" customHeight="true" outlineLevel="0" collapsed="false">
      <c r="A945" s="89"/>
      <c r="B945" s="89"/>
      <c r="C945" s="89"/>
      <c r="D945" s="150"/>
      <c r="E945" s="152"/>
      <c r="F945" s="151"/>
      <c r="G945" s="151"/>
      <c r="H945" s="151"/>
      <c r="I945" s="151"/>
      <c r="J945" s="152"/>
      <c r="K945" s="152"/>
      <c r="L945" s="152"/>
      <c r="M945" s="152"/>
      <c r="N945" s="150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</row>
    <row r="946" customFormat="false" ht="11.25" hidden="false" customHeight="true" outlineLevel="0" collapsed="false">
      <c r="A946" s="89"/>
      <c r="B946" s="89"/>
      <c r="C946" s="89"/>
      <c r="D946" s="150"/>
      <c r="E946" s="152"/>
      <c r="F946" s="151"/>
      <c r="G946" s="151"/>
      <c r="H946" s="151"/>
      <c r="I946" s="151"/>
      <c r="J946" s="152"/>
      <c r="K946" s="152"/>
      <c r="L946" s="152"/>
      <c r="M946" s="152"/>
      <c r="N946" s="150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</row>
    <row r="947" customFormat="false" ht="11.25" hidden="false" customHeight="true" outlineLevel="0" collapsed="false">
      <c r="A947" s="89"/>
      <c r="B947" s="89"/>
      <c r="C947" s="89"/>
      <c r="D947" s="150"/>
      <c r="E947" s="152"/>
      <c r="F947" s="151"/>
      <c r="G947" s="151"/>
      <c r="H947" s="151"/>
      <c r="I947" s="151"/>
      <c r="J947" s="152"/>
      <c r="K947" s="152"/>
      <c r="L947" s="152"/>
      <c r="M947" s="152"/>
      <c r="N947" s="150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</row>
    <row r="948" customFormat="false" ht="11.25" hidden="false" customHeight="true" outlineLevel="0" collapsed="false">
      <c r="A948" s="89"/>
      <c r="B948" s="89"/>
      <c r="C948" s="89"/>
      <c r="D948" s="150"/>
      <c r="E948" s="152"/>
      <c r="F948" s="151"/>
      <c r="G948" s="151"/>
      <c r="H948" s="151"/>
      <c r="I948" s="151"/>
      <c r="J948" s="152"/>
      <c r="K948" s="152"/>
      <c r="L948" s="152"/>
      <c r="M948" s="152"/>
      <c r="N948" s="150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</row>
    <row r="949" customFormat="false" ht="11.25" hidden="false" customHeight="true" outlineLevel="0" collapsed="false">
      <c r="A949" s="89"/>
      <c r="B949" s="89"/>
      <c r="C949" s="89"/>
      <c r="D949" s="150"/>
      <c r="E949" s="152"/>
      <c r="F949" s="151"/>
      <c r="G949" s="151"/>
      <c r="H949" s="151"/>
      <c r="I949" s="151"/>
      <c r="J949" s="152"/>
      <c r="K949" s="152"/>
      <c r="L949" s="152"/>
      <c r="M949" s="152"/>
      <c r="N949" s="150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</row>
    <row r="950" customFormat="false" ht="11.25" hidden="false" customHeight="true" outlineLevel="0" collapsed="false">
      <c r="A950" s="89"/>
      <c r="B950" s="89"/>
      <c r="C950" s="89"/>
      <c r="D950" s="150"/>
      <c r="E950" s="152"/>
      <c r="F950" s="151"/>
      <c r="G950" s="151"/>
      <c r="H950" s="151"/>
      <c r="I950" s="151"/>
      <c r="J950" s="152"/>
      <c r="K950" s="152"/>
      <c r="L950" s="152"/>
      <c r="M950" s="152"/>
      <c r="N950" s="150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</row>
    <row r="951" customFormat="false" ht="11.25" hidden="false" customHeight="true" outlineLevel="0" collapsed="false">
      <c r="A951" s="89"/>
      <c r="B951" s="89"/>
      <c r="C951" s="89"/>
      <c r="D951" s="150"/>
      <c r="E951" s="152"/>
      <c r="F951" s="151"/>
      <c r="G951" s="151"/>
      <c r="H951" s="151"/>
      <c r="I951" s="151"/>
      <c r="J951" s="152"/>
      <c r="K951" s="152"/>
      <c r="L951" s="152"/>
      <c r="M951" s="152"/>
      <c r="N951" s="150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</row>
    <row r="952" customFormat="false" ht="11.25" hidden="false" customHeight="true" outlineLevel="0" collapsed="false">
      <c r="A952" s="89"/>
      <c r="B952" s="89"/>
      <c r="C952" s="89"/>
      <c r="D952" s="150"/>
      <c r="E952" s="152"/>
      <c r="F952" s="151"/>
      <c r="G952" s="151"/>
      <c r="H952" s="151"/>
      <c r="I952" s="151"/>
      <c r="J952" s="152"/>
      <c r="K952" s="152"/>
      <c r="L952" s="152"/>
      <c r="M952" s="152"/>
      <c r="N952" s="150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</row>
    <row r="953" customFormat="false" ht="11.25" hidden="false" customHeight="true" outlineLevel="0" collapsed="false">
      <c r="A953" s="89"/>
      <c r="B953" s="89"/>
      <c r="C953" s="89"/>
      <c r="D953" s="150"/>
      <c r="E953" s="152"/>
      <c r="F953" s="151"/>
      <c r="G953" s="151"/>
      <c r="H953" s="151"/>
      <c r="I953" s="151"/>
      <c r="J953" s="152"/>
      <c r="K953" s="152"/>
      <c r="L953" s="152"/>
      <c r="M953" s="152"/>
      <c r="N953" s="150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</row>
    <row r="954" customFormat="false" ht="11.25" hidden="false" customHeight="true" outlineLevel="0" collapsed="false">
      <c r="A954" s="89"/>
      <c r="B954" s="89"/>
      <c r="C954" s="89"/>
      <c r="D954" s="150"/>
      <c r="E954" s="152"/>
      <c r="F954" s="151"/>
      <c r="G954" s="151"/>
      <c r="H954" s="151"/>
      <c r="I954" s="151"/>
      <c r="J954" s="152"/>
      <c r="K954" s="152"/>
      <c r="L954" s="152"/>
      <c r="M954" s="152"/>
      <c r="N954" s="150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</row>
    <row r="955" customFormat="false" ht="11.25" hidden="false" customHeight="true" outlineLevel="0" collapsed="false">
      <c r="A955" s="89"/>
      <c r="B955" s="89"/>
      <c r="C955" s="89"/>
      <c r="D955" s="150"/>
      <c r="E955" s="152"/>
      <c r="F955" s="151"/>
      <c r="G955" s="151"/>
      <c r="H955" s="151"/>
      <c r="I955" s="151"/>
      <c r="J955" s="152"/>
      <c r="K955" s="152"/>
      <c r="L955" s="152"/>
      <c r="M955" s="152"/>
      <c r="N955" s="150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</row>
    <row r="956" customFormat="false" ht="11.25" hidden="false" customHeight="true" outlineLevel="0" collapsed="false">
      <c r="A956" s="89"/>
      <c r="B956" s="89"/>
      <c r="C956" s="89"/>
      <c r="D956" s="150"/>
      <c r="E956" s="152"/>
      <c r="F956" s="151"/>
      <c r="G956" s="151"/>
      <c r="H956" s="151"/>
      <c r="I956" s="151"/>
      <c r="J956" s="152"/>
      <c r="K956" s="152"/>
      <c r="L956" s="152"/>
      <c r="M956" s="152"/>
      <c r="N956" s="150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</row>
    <row r="957" customFormat="false" ht="11.25" hidden="false" customHeight="true" outlineLevel="0" collapsed="false">
      <c r="A957" s="89"/>
      <c r="B957" s="89"/>
      <c r="C957" s="89"/>
      <c r="D957" s="150"/>
      <c r="E957" s="152"/>
      <c r="F957" s="151"/>
      <c r="G957" s="151"/>
      <c r="H957" s="151"/>
      <c r="I957" s="151"/>
      <c r="J957" s="152"/>
      <c r="K957" s="152"/>
      <c r="L957" s="152"/>
      <c r="M957" s="152"/>
      <c r="N957" s="150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</row>
    <row r="958" customFormat="false" ht="11.25" hidden="false" customHeight="true" outlineLevel="0" collapsed="false">
      <c r="A958" s="89"/>
      <c r="B958" s="89"/>
      <c r="C958" s="89"/>
      <c r="D958" s="150"/>
      <c r="E958" s="152"/>
      <c r="F958" s="151"/>
      <c r="G958" s="151"/>
      <c r="H958" s="151"/>
      <c r="I958" s="151"/>
      <c r="J958" s="152"/>
      <c r="K958" s="152"/>
      <c r="L958" s="152"/>
      <c r="M958" s="152"/>
      <c r="N958" s="150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</row>
    <row r="959" customFormat="false" ht="11.25" hidden="false" customHeight="true" outlineLevel="0" collapsed="false">
      <c r="A959" s="89"/>
      <c r="B959" s="89"/>
      <c r="C959" s="89"/>
      <c r="D959" s="150"/>
      <c r="E959" s="152"/>
      <c r="F959" s="151"/>
      <c r="G959" s="151"/>
      <c r="H959" s="151"/>
      <c r="I959" s="151"/>
      <c r="J959" s="152"/>
      <c r="K959" s="152"/>
      <c r="L959" s="152"/>
      <c r="M959" s="152"/>
      <c r="N959" s="150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</row>
    <row r="960" customFormat="false" ht="11.25" hidden="false" customHeight="true" outlineLevel="0" collapsed="false">
      <c r="A960" s="89"/>
      <c r="B960" s="89"/>
      <c r="C960" s="89"/>
      <c r="D960" s="150"/>
      <c r="E960" s="152"/>
      <c r="F960" s="151"/>
      <c r="G960" s="151"/>
      <c r="H960" s="151"/>
      <c r="I960" s="151"/>
      <c r="J960" s="152"/>
      <c r="K960" s="152"/>
      <c r="L960" s="152"/>
      <c r="M960" s="152"/>
      <c r="N960" s="150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</row>
    <row r="961" customFormat="false" ht="11.25" hidden="false" customHeight="true" outlineLevel="0" collapsed="false">
      <c r="A961" s="89"/>
      <c r="B961" s="89"/>
      <c r="C961" s="89"/>
      <c r="D961" s="150"/>
      <c r="E961" s="152"/>
      <c r="F961" s="151"/>
      <c r="G961" s="151"/>
      <c r="H961" s="151"/>
      <c r="I961" s="151"/>
      <c r="J961" s="152"/>
      <c r="K961" s="152"/>
      <c r="L961" s="152"/>
      <c r="M961" s="152"/>
      <c r="N961" s="150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</row>
    <row r="962" customFormat="false" ht="11.25" hidden="false" customHeight="true" outlineLevel="0" collapsed="false">
      <c r="A962" s="89"/>
      <c r="B962" s="89"/>
      <c r="C962" s="89"/>
      <c r="D962" s="150"/>
      <c r="E962" s="152"/>
      <c r="F962" s="151"/>
      <c r="G962" s="151"/>
      <c r="H962" s="151"/>
      <c r="I962" s="151"/>
      <c r="J962" s="152"/>
      <c r="K962" s="152"/>
      <c r="L962" s="152"/>
      <c r="M962" s="152"/>
      <c r="N962" s="150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</row>
    <row r="963" customFormat="false" ht="11.25" hidden="false" customHeight="true" outlineLevel="0" collapsed="false">
      <c r="A963" s="89"/>
      <c r="B963" s="89"/>
      <c r="C963" s="89"/>
      <c r="D963" s="150"/>
      <c r="E963" s="152"/>
      <c r="F963" s="151"/>
      <c r="G963" s="151"/>
      <c r="H963" s="151"/>
      <c r="I963" s="151"/>
      <c r="J963" s="152"/>
      <c r="K963" s="152"/>
      <c r="L963" s="152"/>
      <c r="M963" s="152"/>
      <c r="N963" s="150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</row>
    <row r="964" customFormat="false" ht="11.25" hidden="false" customHeight="true" outlineLevel="0" collapsed="false">
      <c r="A964" s="89"/>
      <c r="B964" s="89"/>
      <c r="C964" s="89"/>
      <c r="D964" s="150"/>
      <c r="E964" s="152"/>
      <c r="F964" s="151"/>
      <c r="G964" s="151"/>
      <c r="H964" s="151"/>
      <c r="I964" s="151"/>
      <c r="J964" s="152"/>
      <c r="K964" s="152"/>
      <c r="L964" s="152"/>
      <c r="M964" s="152"/>
      <c r="N964" s="150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</row>
    <row r="965" customFormat="false" ht="11.25" hidden="false" customHeight="true" outlineLevel="0" collapsed="false">
      <c r="A965" s="89"/>
      <c r="B965" s="89"/>
      <c r="C965" s="89"/>
      <c r="D965" s="150"/>
      <c r="E965" s="152"/>
      <c r="F965" s="151"/>
      <c r="G965" s="151"/>
      <c r="H965" s="151"/>
      <c r="I965" s="151"/>
      <c r="J965" s="152"/>
      <c r="K965" s="152"/>
      <c r="L965" s="152"/>
      <c r="M965" s="152"/>
      <c r="N965" s="150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</row>
    <row r="966" customFormat="false" ht="11.25" hidden="false" customHeight="true" outlineLevel="0" collapsed="false">
      <c r="A966" s="89"/>
      <c r="B966" s="89"/>
      <c r="C966" s="89"/>
      <c r="D966" s="150"/>
      <c r="E966" s="152"/>
      <c r="F966" s="151"/>
      <c r="G966" s="151"/>
      <c r="H966" s="151"/>
      <c r="I966" s="151"/>
      <c r="J966" s="152"/>
      <c r="K966" s="152"/>
      <c r="L966" s="152"/>
      <c r="M966" s="152"/>
      <c r="N966" s="150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</row>
    <row r="967" customFormat="false" ht="11.25" hidden="false" customHeight="true" outlineLevel="0" collapsed="false">
      <c r="A967" s="89"/>
      <c r="B967" s="89"/>
      <c r="C967" s="89"/>
      <c r="D967" s="150"/>
      <c r="E967" s="152"/>
      <c r="F967" s="151"/>
      <c r="G967" s="151"/>
      <c r="H967" s="151"/>
      <c r="I967" s="151"/>
      <c r="J967" s="152"/>
      <c r="K967" s="152"/>
      <c r="L967" s="152"/>
      <c r="M967" s="152"/>
      <c r="N967" s="150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</row>
    <row r="968" customFormat="false" ht="11.25" hidden="false" customHeight="true" outlineLevel="0" collapsed="false">
      <c r="A968" s="89"/>
      <c r="B968" s="89"/>
      <c r="C968" s="89"/>
      <c r="D968" s="150"/>
      <c r="E968" s="152"/>
      <c r="F968" s="151"/>
      <c r="G968" s="151"/>
      <c r="H968" s="151"/>
      <c r="I968" s="151"/>
      <c r="J968" s="152"/>
      <c r="K968" s="152"/>
      <c r="L968" s="152"/>
      <c r="M968" s="152"/>
      <c r="N968" s="150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</row>
    <row r="969" customFormat="false" ht="11.25" hidden="false" customHeight="true" outlineLevel="0" collapsed="false">
      <c r="A969" s="89"/>
      <c r="B969" s="89"/>
      <c r="C969" s="89"/>
      <c r="D969" s="150"/>
      <c r="E969" s="152"/>
      <c r="F969" s="151"/>
      <c r="G969" s="151"/>
      <c r="H969" s="151"/>
      <c r="I969" s="151"/>
      <c r="J969" s="152"/>
      <c r="K969" s="152"/>
      <c r="L969" s="152"/>
      <c r="M969" s="152"/>
      <c r="N969" s="150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</row>
    <row r="970" customFormat="false" ht="11.25" hidden="false" customHeight="true" outlineLevel="0" collapsed="false">
      <c r="A970" s="89"/>
      <c r="B970" s="89"/>
      <c r="C970" s="89"/>
      <c r="D970" s="150"/>
      <c r="E970" s="152"/>
      <c r="F970" s="151"/>
      <c r="G970" s="151"/>
      <c r="H970" s="151"/>
      <c r="I970" s="151"/>
      <c r="J970" s="152"/>
      <c r="K970" s="152"/>
      <c r="L970" s="152"/>
      <c r="M970" s="152"/>
      <c r="N970" s="150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</row>
    <row r="971" customFormat="false" ht="11.25" hidden="false" customHeight="true" outlineLevel="0" collapsed="false">
      <c r="A971" s="89"/>
      <c r="B971" s="89"/>
      <c r="C971" s="89"/>
      <c r="D971" s="150"/>
      <c r="E971" s="152"/>
      <c r="F971" s="151"/>
      <c r="G971" s="151"/>
      <c r="H971" s="151"/>
      <c r="I971" s="151"/>
      <c r="J971" s="152"/>
      <c r="K971" s="152"/>
      <c r="L971" s="152"/>
      <c r="M971" s="152"/>
      <c r="N971" s="150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</row>
    <row r="972" customFormat="false" ht="11.25" hidden="false" customHeight="true" outlineLevel="0" collapsed="false">
      <c r="A972" s="89"/>
      <c r="B972" s="89"/>
      <c r="C972" s="89"/>
      <c r="D972" s="150"/>
      <c r="E972" s="152"/>
      <c r="F972" s="151"/>
      <c r="G972" s="151"/>
      <c r="H972" s="151"/>
      <c r="I972" s="151"/>
      <c r="J972" s="152"/>
      <c r="K972" s="152"/>
      <c r="L972" s="152"/>
      <c r="M972" s="152"/>
      <c r="N972" s="150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</row>
    <row r="973" customFormat="false" ht="11.25" hidden="false" customHeight="true" outlineLevel="0" collapsed="false">
      <c r="A973" s="89"/>
      <c r="B973" s="89"/>
      <c r="C973" s="89"/>
      <c r="D973" s="150"/>
      <c r="E973" s="152"/>
      <c r="F973" s="151"/>
      <c r="G973" s="151"/>
      <c r="H973" s="151"/>
      <c r="I973" s="151"/>
      <c r="J973" s="152"/>
      <c r="K973" s="152"/>
      <c r="L973" s="152"/>
      <c r="M973" s="152"/>
      <c r="N973" s="150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</row>
    <row r="974" customFormat="false" ht="11.25" hidden="false" customHeight="true" outlineLevel="0" collapsed="false">
      <c r="A974" s="89"/>
      <c r="B974" s="89"/>
      <c r="C974" s="89"/>
      <c r="D974" s="150"/>
      <c r="E974" s="152"/>
      <c r="F974" s="151"/>
      <c r="G974" s="151"/>
      <c r="H974" s="151"/>
      <c r="I974" s="151"/>
      <c r="J974" s="152"/>
      <c r="K974" s="152"/>
      <c r="L974" s="152"/>
      <c r="M974" s="152"/>
      <c r="N974" s="150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</row>
    <row r="975" customFormat="false" ht="11.25" hidden="false" customHeight="true" outlineLevel="0" collapsed="false">
      <c r="A975" s="89"/>
      <c r="B975" s="89"/>
      <c r="C975" s="89"/>
      <c r="D975" s="150"/>
      <c r="E975" s="152"/>
      <c r="F975" s="151"/>
      <c r="G975" s="151"/>
      <c r="H975" s="151"/>
      <c r="I975" s="151"/>
      <c r="J975" s="152"/>
      <c r="K975" s="152"/>
      <c r="L975" s="152"/>
      <c r="M975" s="152"/>
      <c r="N975" s="150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</row>
    <row r="976" customFormat="false" ht="11.25" hidden="false" customHeight="true" outlineLevel="0" collapsed="false">
      <c r="A976" s="89"/>
      <c r="B976" s="89"/>
      <c r="C976" s="89"/>
      <c r="D976" s="150"/>
      <c r="E976" s="152"/>
      <c r="F976" s="151"/>
      <c r="G976" s="151"/>
      <c r="H976" s="151"/>
      <c r="I976" s="151"/>
      <c r="J976" s="152"/>
      <c r="K976" s="152"/>
      <c r="L976" s="152"/>
      <c r="M976" s="152"/>
      <c r="N976" s="150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</row>
    <row r="977" customFormat="false" ht="11.25" hidden="false" customHeight="true" outlineLevel="0" collapsed="false">
      <c r="A977" s="89"/>
      <c r="B977" s="89"/>
      <c r="C977" s="89"/>
      <c r="D977" s="150"/>
      <c r="E977" s="152"/>
      <c r="F977" s="151"/>
      <c r="G977" s="151"/>
      <c r="H977" s="151"/>
      <c r="I977" s="151"/>
      <c r="J977" s="152"/>
      <c r="K977" s="152"/>
      <c r="L977" s="152"/>
      <c r="M977" s="152"/>
      <c r="N977" s="150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</row>
    <row r="978" customFormat="false" ht="11.25" hidden="false" customHeight="true" outlineLevel="0" collapsed="false">
      <c r="A978" s="89"/>
      <c r="B978" s="89"/>
      <c r="C978" s="89"/>
      <c r="D978" s="150"/>
      <c r="E978" s="152"/>
      <c r="F978" s="151"/>
      <c r="G978" s="151"/>
      <c r="H978" s="151"/>
      <c r="I978" s="151"/>
      <c r="J978" s="152"/>
      <c r="K978" s="152"/>
      <c r="L978" s="152"/>
      <c r="M978" s="152"/>
      <c r="N978" s="150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</row>
    <row r="979" customFormat="false" ht="11.25" hidden="false" customHeight="true" outlineLevel="0" collapsed="false">
      <c r="A979" s="89"/>
      <c r="B979" s="89"/>
      <c r="C979" s="89"/>
      <c r="D979" s="150"/>
      <c r="E979" s="152"/>
      <c r="F979" s="151"/>
      <c r="G979" s="151"/>
      <c r="H979" s="151"/>
      <c r="I979" s="151"/>
      <c r="J979" s="152"/>
      <c r="K979" s="152"/>
      <c r="L979" s="152"/>
      <c r="M979" s="152"/>
      <c r="N979" s="150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</row>
    <row r="980" customFormat="false" ht="11.25" hidden="false" customHeight="true" outlineLevel="0" collapsed="false">
      <c r="A980" s="89"/>
      <c r="B980" s="89"/>
      <c r="C980" s="89"/>
      <c r="D980" s="150"/>
      <c r="E980" s="152"/>
      <c r="F980" s="151"/>
      <c r="G980" s="151"/>
      <c r="H980" s="151"/>
      <c r="I980" s="151"/>
      <c r="J980" s="152"/>
      <c r="K980" s="152"/>
      <c r="L980" s="152"/>
      <c r="M980" s="152"/>
      <c r="N980" s="150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</row>
    <row r="981" customFormat="false" ht="11.25" hidden="false" customHeight="true" outlineLevel="0" collapsed="false">
      <c r="A981" s="89"/>
      <c r="B981" s="89"/>
      <c r="C981" s="89"/>
      <c r="D981" s="150"/>
      <c r="E981" s="152"/>
      <c r="F981" s="151"/>
      <c r="G981" s="151"/>
      <c r="H981" s="151"/>
      <c r="I981" s="151"/>
      <c r="J981" s="152"/>
      <c r="K981" s="152"/>
      <c r="L981" s="152"/>
      <c r="M981" s="152"/>
      <c r="N981" s="150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</row>
    <row r="982" customFormat="false" ht="11.25" hidden="false" customHeight="true" outlineLevel="0" collapsed="false">
      <c r="A982" s="89"/>
      <c r="B982" s="89"/>
      <c r="C982" s="89"/>
      <c r="D982" s="150"/>
      <c r="E982" s="152"/>
      <c r="F982" s="151"/>
      <c r="G982" s="151"/>
      <c r="H982" s="151"/>
      <c r="I982" s="151"/>
      <c r="J982" s="152"/>
      <c r="K982" s="152"/>
      <c r="L982" s="152"/>
      <c r="M982" s="152"/>
      <c r="N982" s="150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</row>
    <row r="983" customFormat="false" ht="11.25" hidden="false" customHeight="true" outlineLevel="0" collapsed="false">
      <c r="A983" s="89"/>
      <c r="B983" s="89"/>
      <c r="C983" s="89"/>
      <c r="D983" s="150"/>
      <c r="E983" s="152"/>
      <c r="F983" s="151"/>
      <c r="G983" s="151"/>
      <c r="H983" s="151"/>
      <c r="I983" s="151"/>
      <c r="J983" s="152"/>
      <c r="K983" s="152"/>
      <c r="L983" s="152"/>
      <c r="M983" s="152"/>
      <c r="N983" s="150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</row>
    <row r="984" customFormat="false" ht="11.25" hidden="false" customHeight="true" outlineLevel="0" collapsed="false">
      <c r="A984" s="89"/>
      <c r="B984" s="89"/>
      <c r="C984" s="89"/>
      <c r="D984" s="150"/>
      <c r="E984" s="152"/>
      <c r="F984" s="151"/>
      <c r="G984" s="151"/>
      <c r="H984" s="151"/>
      <c r="I984" s="151"/>
      <c r="J984" s="152"/>
      <c r="K984" s="152"/>
      <c r="L984" s="152"/>
      <c r="M984" s="152"/>
      <c r="N984" s="150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</row>
    <row r="985" customFormat="false" ht="11.25" hidden="false" customHeight="true" outlineLevel="0" collapsed="false">
      <c r="A985" s="89"/>
      <c r="B985" s="89"/>
      <c r="C985" s="89"/>
      <c r="D985" s="150"/>
      <c r="E985" s="152"/>
      <c r="F985" s="151"/>
      <c r="G985" s="151"/>
      <c r="H985" s="151"/>
      <c r="I985" s="151"/>
      <c r="J985" s="152"/>
      <c r="K985" s="152"/>
      <c r="L985" s="152"/>
      <c r="M985" s="152"/>
      <c r="N985" s="150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</row>
    <row r="986" customFormat="false" ht="11.25" hidden="false" customHeight="true" outlineLevel="0" collapsed="false">
      <c r="A986" s="89"/>
      <c r="B986" s="89"/>
      <c r="C986" s="89"/>
      <c r="D986" s="150"/>
      <c r="E986" s="152"/>
      <c r="F986" s="151"/>
      <c r="G986" s="151"/>
      <c r="H986" s="151"/>
      <c r="I986" s="151"/>
      <c r="J986" s="152"/>
      <c r="K986" s="152"/>
      <c r="L986" s="152"/>
      <c r="M986" s="152"/>
      <c r="N986" s="150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</row>
    <row r="987" customFormat="false" ht="11.25" hidden="false" customHeight="true" outlineLevel="0" collapsed="false">
      <c r="A987" s="89"/>
      <c r="B987" s="89"/>
      <c r="C987" s="89"/>
      <c r="D987" s="150"/>
      <c r="E987" s="152"/>
      <c r="F987" s="151"/>
      <c r="G987" s="151"/>
      <c r="H987" s="151"/>
      <c r="I987" s="151"/>
      <c r="J987" s="152"/>
      <c r="K987" s="152"/>
      <c r="L987" s="152"/>
      <c r="M987" s="152"/>
      <c r="N987" s="150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</row>
    <row r="988" customFormat="false" ht="11.25" hidden="false" customHeight="true" outlineLevel="0" collapsed="false">
      <c r="A988" s="89"/>
      <c r="B988" s="89"/>
      <c r="C988" s="89"/>
      <c r="D988" s="150"/>
      <c r="E988" s="152"/>
      <c r="F988" s="151"/>
      <c r="G988" s="151"/>
      <c r="H988" s="151"/>
      <c r="I988" s="151"/>
      <c r="J988" s="152"/>
      <c r="K988" s="152"/>
      <c r="L988" s="152"/>
      <c r="M988" s="152"/>
      <c r="N988" s="150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</row>
    <row r="989" customFormat="false" ht="11.25" hidden="false" customHeight="true" outlineLevel="0" collapsed="false">
      <c r="A989" s="89"/>
      <c r="B989" s="89"/>
      <c r="C989" s="89"/>
      <c r="D989" s="150"/>
      <c r="E989" s="152"/>
      <c r="F989" s="151"/>
      <c r="G989" s="151"/>
      <c r="H989" s="151"/>
      <c r="I989" s="151"/>
      <c r="J989" s="152"/>
      <c r="K989" s="152"/>
      <c r="L989" s="152"/>
      <c r="M989" s="152"/>
      <c r="N989" s="150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</row>
    <row r="990" customFormat="false" ht="11.25" hidden="false" customHeight="true" outlineLevel="0" collapsed="false">
      <c r="A990" s="89"/>
      <c r="B990" s="89"/>
      <c r="C990" s="89"/>
      <c r="D990" s="150"/>
      <c r="E990" s="152"/>
      <c r="F990" s="151"/>
      <c r="G990" s="151"/>
      <c r="H990" s="151"/>
      <c r="I990" s="151"/>
      <c r="J990" s="152"/>
      <c r="K990" s="152"/>
      <c r="L990" s="152"/>
      <c r="M990" s="152"/>
      <c r="N990" s="150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</row>
    <row r="991" customFormat="false" ht="11.25" hidden="false" customHeight="true" outlineLevel="0" collapsed="false">
      <c r="A991" s="89"/>
      <c r="B991" s="89"/>
      <c r="C991" s="89"/>
      <c r="D991" s="150"/>
      <c r="E991" s="152"/>
      <c r="F991" s="151"/>
      <c r="G991" s="151"/>
      <c r="H991" s="151"/>
      <c r="I991" s="151"/>
      <c r="J991" s="152"/>
      <c r="K991" s="152"/>
      <c r="L991" s="152"/>
      <c r="M991" s="152"/>
      <c r="N991" s="150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</row>
    <row r="992" customFormat="false" ht="11.25" hidden="false" customHeight="true" outlineLevel="0" collapsed="false">
      <c r="A992" s="89"/>
      <c r="B992" s="89"/>
      <c r="C992" s="89"/>
      <c r="D992" s="150"/>
      <c r="E992" s="152"/>
      <c r="F992" s="151"/>
      <c r="G992" s="151"/>
      <c r="H992" s="151"/>
      <c r="I992" s="151"/>
      <c r="J992" s="152"/>
      <c r="K992" s="152"/>
      <c r="L992" s="152"/>
      <c r="M992" s="152"/>
      <c r="N992" s="150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</row>
    <row r="993" customFormat="false" ht="11.25" hidden="false" customHeight="true" outlineLevel="0" collapsed="false">
      <c r="A993" s="89"/>
      <c r="B993" s="89"/>
      <c r="C993" s="89"/>
      <c r="D993" s="150"/>
      <c r="E993" s="152"/>
      <c r="F993" s="151"/>
      <c r="G993" s="151"/>
      <c r="H993" s="151"/>
      <c r="I993" s="151"/>
      <c r="J993" s="152"/>
      <c r="K993" s="152"/>
      <c r="L993" s="152"/>
      <c r="M993" s="152"/>
      <c r="N993" s="150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</row>
    <row r="994" customFormat="false" ht="11.25" hidden="false" customHeight="true" outlineLevel="0" collapsed="false">
      <c r="A994" s="89"/>
      <c r="B994" s="89"/>
      <c r="C994" s="89"/>
      <c r="D994" s="150"/>
      <c r="E994" s="152"/>
      <c r="F994" s="151"/>
      <c r="G994" s="151"/>
      <c r="H994" s="151"/>
      <c r="I994" s="151"/>
      <c r="J994" s="152"/>
      <c r="K994" s="152"/>
      <c r="L994" s="152"/>
      <c r="M994" s="152"/>
      <c r="N994" s="150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</row>
    <row r="995" customFormat="false" ht="11.25" hidden="false" customHeight="true" outlineLevel="0" collapsed="false">
      <c r="A995" s="89"/>
      <c r="B995" s="89"/>
      <c r="C995" s="89"/>
      <c r="D995" s="150"/>
      <c r="E995" s="152"/>
      <c r="F995" s="151"/>
      <c r="G995" s="151"/>
      <c r="H995" s="151"/>
      <c r="I995" s="151"/>
      <c r="J995" s="152"/>
      <c r="K995" s="152"/>
      <c r="L995" s="152"/>
      <c r="M995" s="152"/>
      <c r="N995" s="150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</row>
    <row r="996" customFormat="false" ht="11.25" hidden="false" customHeight="true" outlineLevel="0" collapsed="false">
      <c r="A996" s="89"/>
      <c r="B996" s="89"/>
      <c r="C996" s="89"/>
      <c r="D996" s="150"/>
      <c r="E996" s="152"/>
      <c r="F996" s="151"/>
      <c r="G996" s="151"/>
      <c r="H996" s="151"/>
      <c r="I996" s="151"/>
      <c r="J996" s="152"/>
      <c r="K996" s="152"/>
      <c r="L996" s="152"/>
      <c r="M996" s="152"/>
      <c r="N996" s="150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</row>
    <row r="997" customFormat="false" ht="11.25" hidden="false" customHeight="true" outlineLevel="0" collapsed="false">
      <c r="A997" s="89"/>
      <c r="B997" s="89"/>
      <c r="C997" s="89"/>
      <c r="D997" s="150"/>
      <c r="E997" s="152"/>
      <c r="F997" s="151"/>
      <c r="G997" s="151"/>
      <c r="H997" s="151"/>
      <c r="I997" s="151"/>
      <c r="J997" s="152"/>
      <c r="K997" s="152"/>
      <c r="L997" s="152"/>
      <c r="M997" s="152"/>
      <c r="N997" s="150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</row>
    <row r="998" customFormat="false" ht="11.25" hidden="false" customHeight="true" outlineLevel="0" collapsed="false">
      <c r="A998" s="89"/>
      <c r="B998" s="89"/>
      <c r="C998" s="89"/>
      <c r="D998" s="150"/>
      <c r="E998" s="152"/>
      <c r="F998" s="151"/>
      <c r="G998" s="151"/>
      <c r="H998" s="151"/>
      <c r="I998" s="151"/>
      <c r="J998" s="152"/>
      <c r="K998" s="152"/>
      <c r="L998" s="152"/>
      <c r="M998" s="152"/>
      <c r="N998" s="150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</row>
    <row r="999" customFormat="false" ht="11.25" hidden="false" customHeight="true" outlineLevel="0" collapsed="false">
      <c r="A999" s="89"/>
      <c r="B999" s="89"/>
      <c r="C999" s="89"/>
      <c r="D999" s="150"/>
      <c r="E999" s="152"/>
      <c r="F999" s="151"/>
      <c r="G999" s="151"/>
      <c r="H999" s="151"/>
      <c r="I999" s="151"/>
      <c r="J999" s="152"/>
      <c r="K999" s="152"/>
      <c r="L999" s="152"/>
      <c r="M999" s="152"/>
      <c r="N999" s="150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</row>
    <row r="1000" customFormat="false" ht="11.25" hidden="false" customHeight="true" outlineLevel="0" collapsed="false">
      <c r="A1000" s="89"/>
      <c r="B1000" s="89"/>
      <c r="C1000" s="89"/>
      <c r="D1000" s="150"/>
      <c r="E1000" s="152"/>
      <c r="F1000" s="151"/>
      <c r="G1000" s="151"/>
      <c r="H1000" s="151"/>
      <c r="I1000" s="151"/>
      <c r="J1000" s="152"/>
      <c r="K1000" s="152"/>
      <c r="L1000" s="152"/>
      <c r="M1000" s="152"/>
      <c r="N1000" s="150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</row>
  </sheetData>
  <mergeCells count="9">
    <mergeCell ref="A1:N1"/>
    <mergeCell ref="A2:A3"/>
    <mergeCell ref="B2:B3"/>
    <mergeCell ref="C2:C3"/>
    <mergeCell ref="D2:D3"/>
    <mergeCell ref="E2:E3"/>
    <mergeCell ref="F2:I2"/>
    <mergeCell ref="J2:M2"/>
    <mergeCell ref="N2:N3"/>
  </mergeCells>
  <dataValidations count="4">
    <dataValidation allowBlank="true" operator="between" showDropDown="false" showErrorMessage="true" showInputMessage="false" sqref="J4:M105" type="list">
      <formula1>Parametros!$I$2:$I$5</formula1>
      <formula2>0</formula2>
    </dataValidation>
    <dataValidation allowBlank="true" operator="between" showDropDown="false" showErrorMessage="true" showInputMessage="false" sqref="A4:A105" type="list">
      <formula1>'PDU 2020-2023'!$C$4:$C$105</formula1>
      <formula2>0</formula2>
    </dataValidation>
    <dataValidation allowBlank="true" operator="between" showDropDown="true" showErrorMessage="true" showInputMessage="false" sqref="B4:B105" type="decimal">
      <formula1>1</formula1>
      <formula2>20</formula2>
    </dataValidation>
    <dataValidation allowBlank="true" operator="between" showDropDown="false" showErrorMessage="true" showInputMessage="false" sqref="E4:E105" type="list">
      <formula1>Parametros!$F$2:$F$3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8.74"/>
    <col collapsed="false" customWidth="true" hidden="false" outlineLevel="0" max="2" min="2" style="0" width="4.38"/>
    <col collapsed="false" customWidth="true" hidden="false" outlineLevel="0" max="3" min="3" style="0" width="6.13"/>
    <col collapsed="false" customWidth="true" hidden="false" outlineLevel="0" max="4" min="4" style="0" width="37.62"/>
    <col collapsed="false" customWidth="true" hidden="false" outlineLevel="0" max="5" min="5" style="0" width="10.38"/>
    <col collapsed="false" customWidth="true" hidden="false" outlineLevel="0" max="10" min="10" style="0" width="13.88"/>
    <col collapsed="false" customWidth="true" hidden="false" outlineLevel="0" max="13" min="11" style="0" width="13.25"/>
    <col collapsed="false" customWidth="true" hidden="false" outlineLevel="0" max="14" min="14" style="0" width="31.38"/>
  </cols>
  <sheetData>
    <row r="1" customFormat="false" ht="14.25" hidden="false" customHeight="true" outlineLevel="0" collapsed="false">
      <c r="A1" s="153" t="str">
        <f aca="false">IFERROR(__xludf.dummyfunction("IMPORTRANGE(""1NZaPiVqFzCwlmUq8LagadmqPKSiT9llb2c3OuwvzV-4"",""PA 2022!a1"")"),"Plano Anual 2022")</f>
        <v>Plano Anual 2022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customFormat="false" ht="11.25" hidden="false" customHeight="true" outlineLevel="0" collapsed="false">
      <c r="A2" s="96" t="str">
        <f aca="false">IFERROR(__xludf.dummyfunction("IMPORTRANGE(""1NZaPiVqFzCwlmUq8LagadmqPKSiT9llb2c3OuwvzV-4"",""PA 2022!a2"")"),"Vinculação com o PDU")</f>
        <v>Vinculação com o PDU</v>
      </c>
      <c r="B2" s="97" t="str">
        <f aca="false">IFERROR(__xludf.dummyfunction("IMPORTRANGE(""1NZaPiVqFzCwlmUq8LagadmqPKSiT9llb2c3OuwvzV-4"",""PA 2022!b2"")"),"Nº da Ação")</f>
        <v>Nº da Ação</v>
      </c>
      <c r="C2" s="97" t="str">
        <f aca="false">IFERROR(__xludf.dummyfunction("IMPORTRANGE(""1NZaPiVqFzCwlmUq8LagadmqPKSiT9llb2c3OuwvzV-4"",""PA 2022!c2"")"),"Código da Ação")</f>
        <v>Código da Ação</v>
      </c>
      <c r="D2" s="98" t="str">
        <f aca="false">IFERROR(__xludf.dummyfunction("IMPORTRANGE(""1NZaPiVqFzCwlmUq8LagadmqPKSiT9llb2c3OuwvzV-4"",""PA 2022!d2"")"),"Ação")</f>
        <v>Ação</v>
      </c>
      <c r="E2" s="1" t="str">
        <f aca="false">IFERROR(__xludf.dummyfunction("IMPORTRANGE(""1NZaPiVqFzCwlmUq8LagadmqPKSiT9llb2c3OuwvzV-4"",""PA 2022!e2"")"),"Recursos Orçamentários")</f>
        <v>Recursos Orçamentários</v>
      </c>
      <c r="F2" s="99" t="str">
        <f aca="false">IFERROR(__xludf.dummyfunction("IMPORTRANGE(""1NZaPiVqFzCwlmUq8LagadmqPKSiT9llb2c3OuwvzV-4"",""PA 2022!f2"")"),"Descrição das Entregas")</f>
        <v>Descrição das Entregas</v>
      </c>
      <c r="G2" s="99"/>
      <c r="H2" s="99"/>
      <c r="I2" s="99"/>
      <c r="J2" s="99" t="str">
        <f aca="false">IFERROR(__xludf.dummyfunction("IMPORTRANGE(""1NZaPiVqFzCwlmUq8LagadmqPKSiT9llb2c3OuwvzV-4"",""PA 2022!j2"")"),"Situação das Entregas")</f>
        <v>Situação das Entregas</v>
      </c>
      <c r="K2" s="99"/>
      <c r="L2" s="99"/>
      <c r="M2" s="99"/>
      <c r="N2" s="100" t="str">
        <f aca="false">IFERROR(__xludf.dummyfunction("IMPORTRANGE(""1NZaPiVqFzCwlmUq8LagadmqPKSiT9llb2c3OuwvzV-4"",""PA 2022!n2"")"),"Observação")</f>
        <v>Observação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customFormat="false" ht="11.25" hidden="false" customHeight="true" outlineLevel="0" collapsed="false">
      <c r="A3" s="96"/>
      <c r="B3" s="97"/>
      <c r="C3" s="97"/>
      <c r="D3" s="97"/>
      <c r="E3" s="1"/>
      <c r="F3" s="154" t="str">
        <f aca="false">IFERROR(__xludf.dummyfunction("IMPORTRANGE(""1NZaPiVqFzCwlmUq8LagadmqPKSiT9llb2c3OuwvzV-4"",""PA 2022!f3"")"),"1º Trimestre")</f>
        <v>1º Trimestre</v>
      </c>
      <c r="G3" s="104" t="str">
        <f aca="false">IFERROR(__xludf.dummyfunction("IMPORTRANGE(""1NZaPiVqFzCwlmUq8LagadmqPKSiT9llb2c3OuwvzV-4"",""PA 2022!g3"")"),"2º Trimestre")</f>
        <v>2º Trimestre</v>
      </c>
      <c r="H3" s="104" t="str">
        <f aca="false">IFERROR(__xludf.dummyfunction("IMPORTRANGE(""1NZaPiVqFzCwlmUq8LagadmqPKSiT9llb2c3OuwvzV-4"",""PA 2022!h3"")"),"3º Trimestre")</f>
        <v>3º Trimestre</v>
      </c>
      <c r="I3" s="104" t="str">
        <f aca="false">IFERROR(__xludf.dummyfunction("IMPORTRANGE(""1NZaPiVqFzCwlmUq8LagadmqPKSiT9llb2c3OuwvzV-4"",""PA 2022!i3"")"),"4º Trimestre")</f>
        <v>4º Trimestre</v>
      </c>
      <c r="J3" s="103" t="str">
        <f aca="false">IFERROR(__xludf.dummyfunction("IMPORTRANGE(""1NZaPiVqFzCwlmUq8LagadmqPKSiT9llb2c3OuwvzV-4"",""PA 2022!j3"")"),"1º Trimestre")</f>
        <v>1º Trimestre</v>
      </c>
      <c r="K3" s="104" t="str">
        <f aca="false">IFERROR(__xludf.dummyfunction("IMPORTRANGE(""1NZaPiVqFzCwlmUq8LagadmqPKSiT9llb2c3OuwvzV-4"",""PA 2022!k3"")"),"2º Trimestre")</f>
        <v>2º Trimestre</v>
      </c>
      <c r="L3" s="104" t="str">
        <f aca="false">IFERROR(__xludf.dummyfunction("IMPORTRANGE(""1NZaPiVqFzCwlmUq8LagadmqPKSiT9llb2c3OuwvzV-4"",""PA 2022!l3"")"),"3º Trimestre")</f>
        <v>3º Trimestre</v>
      </c>
      <c r="M3" s="105" t="str">
        <f aca="false">IFERROR(__xludf.dummyfunction("IMPORTRANGE(""1NZaPiVqFzCwlmUq8LagadmqPKSiT9llb2c3OuwvzV-4"",""PA 2022!m3"")"),"4º Trimestre")</f>
        <v>4º Trimestre</v>
      </c>
      <c r="N3" s="100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customFormat="false" ht="27.75" hidden="false" customHeight="true" outlineLevel="0" collapsed="false">
      <c r="A4" s="106" t="s">
        <v>85</v>
      </c>
      <c r="B4" s="107" t="n">
        <v>5</v>
      </c>
      <c r="C4" s="108" t="str">
        <f aca="false">CONCATENATE(A4,".",B4)</f>
        <v>PG 4.22.5</v>
      </c>
      <c r="D4" s="109" t="s">
        <v>89</v>
      </c>
      <c r="E4" s="155" t="s">
        <v>54</v>
      </c>
      <c r="F4" s="130" t="s">
        <v>90</v>
      </c>
      <c r="G4" s="131"/>
      <c r="H4" s="110" t="s">
        <v>90</v>
      </c>
      <c r="I4" s="132"/>
      <c r="J4" s="110"/>
      <c r="K4" s="156"/>
      <c r="L4" s="156"/>
      <c r="M4" s="157"/>
      <c r="N4" s="158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customFormat="false" ht="27.75" hidden="false" customHeight="true" outlineLevel="0" collapsed="false">
      <c r="A5" s="106" t="s">
        <v>85</v>
      </c>
      <c r="B5" s="116" t="n">
        <v>6</v>
      </c>
      <c r="C5" s="108" t="str">
        <f aca="false">CONCATENATE(A5,".",B5)</f>
        <v>PG 4.22.6</v>
      </c>
      <c r="D5" s="117" t="s">
        <v>91</v>
      </c>
      <c r="E5" s="122" t="s">
        <v>54</v>
      </c>
      <c r="F5" s="128"/>
      <c r="G5" s="118" t="s">
        <v>92</v>
      </c>
      <c r="H5" s="120"/>
      <c r="I5" s="126" t="s">
        <v>92</v>
      </c>
      <c r="J5" s="118"/>
      <c r="K5" s="124"/>
      <c r="L5" s="124"/>
      <c r="M5" s="159"/>
      <c r="N5" s="160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customFormat="false" ht="27.75" hidden="false" customHeight="true" outlineLevel="0" collapsed="false">
      <c r="A6" s="106"/>
      <c r="B6" s="116"/>
      <c r="C6" s="108"/>
      <c r="D6" s="117"/>
      <c r="E6" s="120"/>
      <c r="F6" s="119"/>
      <c r="G6" s="120"/>
      <c r="H6" s="120"/>
      <c r="I6" s="121"/>
      <c r="J6" s="120"/>
      <c r="K6" s="124"/>
      <c r="L6" s="124"/>
      <c r="M6" s="159"/>
      <c r="N6" s="160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customFormat="false" ht="27.75" hidden="false" customHeight="true" outlineLevel="0" collapsed="false">
      <c r="A7" s="106" t="s">
        <v>93</v>
      </c>
      <c r="B7" s="116" t="n">
        <v>3</v>
      </c>
      <c r="C7" s="108" t="str">
        <f aca="false">CONCATENATE(A7,".",B7)</f>
        <v>PG 4.7.3</v>
      </c>
      <c r="D7" s="117" t="s">
        <v>94</v>
      </c>
      <c r="E7" s="122" t="s">
        <v>54</v>
      </c>
      <c r="F7" s="128" t="s">
        <v>95</v>
      </c>
      <c r="G7" s="118" t="s">
        <v>95</v>
      </c>
      <c r="H7" s="118" t="s">
        <v>95</v>
      </c>
      <c r="I7" s="126" t="s">
        <v>95</v>
      </c>
      <c r="J7" s="120"/>
      <c r="K7" s="124"/>
      <c r="L7" s="124"/>
      <c r="M7" s="159"/>
      <c r="N7" s="160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customFormat="false" ht="27.75" hidden="false" customHeight="true" outlineLevel="0" collapsed="false">
      <c r="A8" s="106"/>
      <c r="B8" s="116"/>
      <c r="C8" s="108" t="str">
        <f aca="false">CONCATENATE(A8,".",B8)</f>
        <v>.</v>
      </c>
      <c r="D8" s="129"/>
      <c r="E8" s="120"/>
      <c r="F8" s="119"/>
      <c r="G8" s="120"/>
      <c r="H8" s="120"/>
      <c r="I8" s="121"/>
      <c r="J8" s="120"/>
      <c r="K8" s="124"/>
      <c r="L8" s="124"/>
      <c r="M8" s="159"/>
      <c r="N8" s="160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customFormat="false" ht="27.75" hidden="false" customHeight="true" outlineLevel="0" collapsed="false">
      <c r="A9" s="106" t="s">
        <v>97</v>
      </c>
      <c r="B9" s="116" t="n">
        <v>6</v>
      </c>
      <c r="C9" s="108" t="str">
        <f aca="false">CONCATENATE(A9,".",B9)</f>
        <v>PDI 2.2.6</v>
      </c>
      <c r="D9" s="117" t="s">
        <v>183</v>
      </c>
      <c r="E9" s="122" t="s">
        <v>54</v>
      </c>
      <c r="F9" s="128"/>
      <c r="G9" s="118"/>
      <c r="H9" s="118" t="s">
        <v>156</v>
      </c>
      <c r="I9" s="126"/>
      <c r="J9" s="120"/>
      <c r="K9" s="124"/>
      <c r="L9" s="124"/>
      <c r="M9" s="159"/>
      <c r="N9" s="160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customFormat="false" ht="27.75" hidden="false" customHeight="true" outlineLevel="0" collapsed="false">
      <c r="A10" s="106" t="s">
        <v>97</v>
      </c>
      <c r="B10" s="116" t="n">
        <v>7</v>
      </c>
      <c r="C10" s="108" t="str">
        <f aca="false">CONCATENATE(A10,".",B10)</f>
        <v>PDI 2.2.7</v>
      </c>
      <c r="D10" s="117" t="s">
        <v>184</v>
      </c>
      <c r="E10" s="118" t="s">
        <v>54</v>
      </c>
      <c r="F10" s="133"/>
      <c r="G10" s="131"/>
      <c r="H10" s="110" t="s">
        <v>158</v>
      </c>
      <c r="I10" s="132"/>
      <c r="J10" s="120"/>
      <c r="K10" s="124"/>
      <c r="L10" s="124"/>
      <c r="M10" s="159"/>
      <c r="N10" s="160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customFormat="false" ht="27.75" hidden="false" customHeight="true" outlineLevel="0" collapsed="false">
      <c r="A11" s="106" t="s">
        <v>97</v>
      </c>
      <c r="B11" s="116" t="n">
        <v>8</v>
      </c>
      <c r="C11" s="108" t="str">
        <f aca="false">CONCATENATE(A11,".",B11)</f>
        <v>PDI 2.2.8</v>
      </c>
      <c r="D11" s="117" t="s">
        <v>185</v>
      </c>
      <c r="E11" s="118" t="s">
        <v>54</v>
      </c>
      <c r="F11" s="119"/>
      <c r="G11" s="120"/>
      <c r="H11" s="120"/>
      <c r="I11" s="126" t="s">
        <v>160</v>
      </c>
      <c r="J11" s="120"/>
      <c r="K11" s="124"/>
      <c r="L11" s="124"/>
      <c r="M11" s="159"/>
      <c r="N11" s="160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customFormat="false" ht="27.75" hidden="false" customHeight="true" outlineLevel="0" collapsed="false">
      <c r="A12" s="106" t="s">
        <v>97</v>
      </c>
      <c r="B12" s="116" t="n">
        <v>9</v>
      </c>
      <c r="C12" s="108" t="str">
        <f aca="false">CONCATENATE(A12,".",B12)</f>
        <v>PDI 2.2.9</v>
      </c>
      <c r="D12" s="117" t="s">
        <v>186</v>
      </c>
      <c r="E12" s="122" t="s">
        <v>54</v>
      </c>
      <c r="F12" s="119"/>
      <c r="G12" s="120"/>
      <c r="H12" s="120"/>
      <c r="I12" s="126" t="s">
        <v>162</v>
      </c>
      <c r="J12" s="124"/>
      <c r="K12" s="124"/>
      <c r="L12" s="124"/>
      <c r="M12" s="159"/>
      <c r="N12" s="160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customFormat="false" ht="27.75" hidden="false" customHeight="true" outlineLevel="0" collapsed="false">
      <c r="A13" s="106"/>
      <c r="B13" s="127"/>
      <c r="C13" s="108" t="str">
        <f aca="false">CONCATENATE(A13,".",B13)</f>
        <v>.</v>
      </c>
      <c r="D13" s="179"/>
      <c r="E13" s="124"/>
      <c r="F13" s="119"/>
      <c r="G13" s="120"/>
      <c r="H13" s="120"/>
      <c r="I13" s="121"/>
      <c r="J13" s="124"/>
      <c r="K13" s="124"/>
      <c r="L13" s="124"/>
      <c r="M13" s="159"/>
      <c r="N13" s="160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customFormat="false" ht="27.75" hidden="false" customHeight="true" outlineLevel="0" collapsed="false">
      <c r="A14" s="106" t="s">
        <v>100</v>
      </c>
      <c r="B14" s="116" t="n">
        <v>1</v>
      </c>
      <c r="C14" s="108" t="str">
        <f aca="false">CONCATENATE(A14,".",B14)</f>
        <v>PDI 2.3.1</v>
      </c>
      <c r="D14" s="117" t="s">
        <v>101</v>
      </c>
      <c r="E14" s="122" t="s">
        <v>54</v>
      </c>
      <c r="F14" s="128" t="s">
        <v>102</v>
      </c>
      <c r="G14" s="120"/>
      <c r="H14" s="120"/>
      <c r="I14" s="121"/>
      <c r="J14" s="124"/>
      <c r="K14" s="124"/>
      <c r="L14" s="124"/>
      <c r="M14" s="159"/>
      <c r="N14" s="160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customFormat="false" ht="27.75" hidden="false" customHeight="true" outlineLevel="0" collapsed="false">
      <c r="A15" s="106"/>
      <c r="B15" s="127"/>
      <c r="C15" s="108" t="str">
        <f aca="false">CONCATENATE(A15,".",B15)</f>
        <v>.</v>
      </c>
      <c r="D15" s="179"/>
      <c r="E15" s="124"/>
      <c r="F15" s="134"/>
      <c r="G15" s="135"/>
      <c r="H15" s="135"/>
      <c r="I15" s="136"/>
      <c r="J15" s="124"/>
      <c r="K15" s="124"/>
      <c r="L15" s="124"/>
      <c r="M15" s="159"/>
      <c r="N15" s="160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customFormat="false" ht="27.75" hidden="false" customHeight="true" outlineLevel="0" collapsed="false">
      <c r="A16" s="106" t="s">
        <v>119</v>
      </c>
      <c r="B16" s="116" t="n">
        <v>7</v>
      </c>
      <c r="C16" s="108" t="str">
        <f aca="false">CONCATENATE(A16,".",B16)</f>
        <v>PG 4.6.7</v>
      </c>
      <c r="D16" s="117" t="s">
        <v>120</v>
      </c>
      <c r="E16" s="122" t="s">
        <v>54</v>
      </c>
      <c r="F16" s="128" t="s">
        <v>121</v>
      </c>
      <c r="G16" s="118"/>
      <c r="H16" s="118" t="s">
        <v>121</v>
      </c>
      <c r="I16" s="121"/>
      <c r="J16" s="124"/>
      <c r="K16" s="124"/>
      <c r="L16" s="124"/>
      <c r="M16" s="159"/>
      <c r="N16" s="16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customFormat="false" ht="27.75" hidden="false" customHeight="true" outlineLevel="0" collapsed="false">
      <c r="A17" s="106" t="s">
        <v>119</v>
      </c>
      <c r="B17" s="116" t="n">
        <v>8</v>
      </c>
      <c r="C17" s="108" t="str">
        <f aca="false">CONCATENATE(A17,".",B17)</f>
        <v>PG 4.6.8</v>
      </c>
      <c r="D17" s="117" t="s">
        <v>123</v>
      </c>
      <c r="E17" s="122" t="s">
        <v>54</v>
      </c>
      <c r="F17" s="128" t="s">
        <v>45</v>
      </c>
      <c r="G17" s="120"/>
      <c r="H17" s="118" t="s">
        <v>45</v>
      </c>
      <c r="I17" s="121"/>
      <c r="J17" s="124"/>
      <c r="K17" s="124"/>
      <c r="L17" s="124"/>
      <c r="M17" s="159"/>
      <c r="N17" s="160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customFormat="false" ht="27.75" hidden="false" customHeight="true" outlineLevel="0" collapsed="false">
      <c r="A18" s="106" t="s">
        <v>119</v>
      </c>
      <c r="B18" s="116" t="n">
        <v>9</v>
      </c>
      <c r="C18" s="108" t="str">
        <f aca="false">CONCATENATE(A18,".",B18)</f>
        <v>PG 4.6.9</v>
      </c>
      <c r="D18" s="117" t="s">
        <v>124</v>
      </c>
      <c r="E18" s="122" t="s">
        <v>54</v>
      </c>
      <c r="F18" s="119"/>
      <c r="G18" s="118" t="s">
        <v>125</v>
      </c>
      <c r="H18" s="120"/>
      <c r="I18" s="126" t="s">
        <v>125</v>
      </c>
      <c r="J18" s="124"/>
      <c r="K18" s="124"/>
      <c r="L18" s="124"/>
      <c r="M18" s="159"/>
      <c r="N18" s="160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customFormat="false" ht="27.75" hidden="false" customHeight="true" outlineLevel="0" collapsed="false">
      <c r="A19" s="106"/>
      <c r="B19" s="127"/>
      <c r="C19" s="108" t="str">
        <f aca="false">CONCATENATE(A19,".",B19)</f>
        <v>.</v>
      </c>
      <c r="D19" s="180"/>
      <c r="E19" s="124"/>
      <c r="F19" s="119"/>
      <c r="G19" s="120"/>
      <c r="H19" s="120"/>
      <c r="I19" s="121"/>
      <c r="J19" s="124"/>
      <c r="K19" s="124"/>
      <c r="L19" s="124"/>
      <c r="M19" s="159"/>
      <c r="N19" s="160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customFormat="false" ht="27.75" hidden="false" customHeight="true" outlineLevel="0" collapsed="false">
      <c r="A20" s="106" t="s">
        <v>135</v>
      </c>
      <c r="B20" s="116" t="n">
        <v>4</v>
      </c>
      <c r="C20" s="108" t="str">
        <f aca="false">CONCATENATE(A20,".",B20)</f>
        <v>PG 4.32.4</v>
      </c>
      <c r="D20" s="117" t="s">
        <v>136</v>
      </c>
      <c r="E20" s="122" t="s">
        <v>54</v>
      </c>
      <c r="F20" s="128" t="s">
        <v>137</v>
      </c>
      <c r="G20" s="120"/>
      <c r="H20" s="118" t="s">
        <v>137</v>
      </c>
      <c r="I20" s="121"/>
      <c r="J20" s="124"/>
      <c r="K20" s="124"/>
      <c r="L20" s="124"/>
      <c r="M20" s="159"/>
      <c r="N20" s="160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customFormat="false" ht="27.75" hidden="false" customHeight="true" outlineLevel="0" collapsed="false">
      <c r="A21" s="106" t="s">
        <v>135</v>
      </c>
      <c r="B21" s="116" t="n">
        <v>5</v>
      </c>
      <c r="C21" s="108" t="str">
        <f aca="false">CONCATENATE(A21,".",B21)</f>
        <v>PG 4.32.5</v>
      </c>
      <c r="D21" s="117" t="s">
        <v>138</v>
      </c>
      <c r="E21" s="122" t="s">
        <v>54</v>
      </c>
      <c r="F21" s="128" t="s">
        <v>137</v>
      </c>
      <c r="G21" s="120"/>
      <c r="H21" s="118" t="s">
        <v>137</v>
      </c>
      <c r="I21" s="121"/>
      <c r="J21" s="124"/>
      <c r="K21" s="124"/>
      <c r="L21" s="124"/>
      <c r="M21" s="159"/>
      <c r="N21" s="160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customFormat="false" ht="27.75" hidden="false" customHeight="true" outlineLevel="0" collapsed="false">
      <c r="A22" s="106" t="s">
        <v>135</v>
      </c>
      <c r="B22" s="116" t="n">
        <v>6</v>
      </c>
      <c r="C22" s="108" t="str">
        <f aca="false">CONCATENATE(A22,".",B22)</f>
        <v>PG 4.32.6</v>
      </c>
      <c r="D22" s="117" t="s">
        <v>139</v>
      </c>
      <c r="E22" s="122" t="s">
        <v>54</v>
      </c>
      <c r="F22" s="119"/>
      <c r="G22" s="118" t="s">
        <v>140</v>
      </c>
      <c r="H22" s="120"/>
      <c r="I22" s="126" t="s">
        <v>140</v>
      </c>
      <c r="J22" s="124"/>
      <c r="K22" s="124"/>
      <c r="L22" s="124"/>
      <c r="M22" s="159"/>
      <c r="N22" s="160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customFormat="false" ht="27.75" hidden="false" customHeight="true" outlineLevel="0" collapsed="false">
      <c r="A23" s="106"/>
      <c r="B23" s="127"/>
      <c r="C23" s="108" t="str">
        <f aca="false">CONCATENATE(A23,".",B23)</f>
        <v>.</v>
      </c>
      <c r="D23" s="180"/>
      <c r="E23" s="124"/>
      <c r="F23" s="119"/>
      <c r="G23" s="120"/>
      <c r="H23" s="120"/>
      <c r="I23" s="121"/>
      <c r="J23" s="124"/>
      <c r="K23" s="124"/>
      <c r="L23" s="124"/>
      <c r="M23" s="159"/>
      <c r="N23" s="160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customFormat="false" ht="27.75" hidden="false" customHeight="true" outlineLevel="0" collapsed="false">
      <c r="A24" s="106" t="s">
        <v>142</v>
      </c>
      <c r="B24" s="116" t="n">
        <v>10</v>
      </c>
      <c r="C24" s="108" t="str">
        <f aca="false">CONCATENATE(A24,".",B24)</f>
        <v>PG 4.33.10</v>
      </c>
      <c r="D24" s="117" t="s">
        <v>145</v>
      </c>
      <c r="E24" s="122" t="s">
        <v>54</v>
      </c>
      <c r="F24" s="133"/>
      <c r="G24" s="131"/>
      <c r="H24" s="110" t="s">
        <v>146</v>
      </c>
      <c r="I24" s="132"/>
      <c r="J24" s="124"/>
      <c r="K24" s="124"/>
      <c r="L24" s="124"/>
      <c r="M24" s="159"/>
      <c r="N24" s="160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customFormat="false" ht="27.75" hidden="false" customHeight="true" outlineLevel="0" collapsed="false">
      <c r="A25" s="106" t="s">
        <v>142</v>
      </c>
      <c r="B25" s="116" t="n">
        <v>11</v>
      </c>
      <c r="C25" s="137" t="str">
        <f aca="false">CONCATENATE(A25,".",B25)</f>
        <v>PG 4.33.11</v>
      </c>
      <c r="D25" s="117" t="s">
        <v>147</v>
      </c>
      <c r="E25" s="122" t="s">
        <v>54</v>
      </c>
      <c r="F25" s="119"/>
      <c r="G25" s="120"/>
      <c r="H25" s="118" t="s">
        <v>148</v>
      </c>
      <c r="I25" s="121"/>
      <c r="J25" s="124"/>
      <c r="K25" s="124"/>
      <c r="L25" s="124"/>
      <c r="M25" s="159"/>
      <c r="N25" s="160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customFormat="false" ht="27.75" hidden="false" customHeight="true" outlineLevel="0" collapsed="false">
      <c r="A26" s="106" t="s">
        <v>142</v>
      </c>
      <c r="B26" s="116" t="n">
        <v>12</v>
      </c>
      <c r="C26" s="137" t="str">
        <f aca="false">CONCATENATE(A26,".",B26)</f>
        <v>PG 4.33.12</v>
      </c>
      <c r="D26" s="117" t="s">
        <v>150</v>
      </c>
      <c r="E26" s="122" t="s">
        <v>54</v>
      </c>
      <c r="F26" s="119"/>
      <c r="G26" s="120"/>
      <c r="H26" s="120"/>
      <c r="I26" s="126" t="s">
        <v>151</v>
      </c>
      <c r="J26" s="124"/>
      <c r="K26" s="124"/>
      <c r="L26" s="124"/>
      <c r="M26" s="159"/>
      <c r="N26" s="160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customFormat="false" ht="27.75" hidden="false" customHeight="true" outlineLevel="0" collapsed="false">
      <c r="A27" s="106" t="s">
        <v>142</v>
      </c>
      <c r="B27" s="116" t="n">
        <v>13</v>
      </c>
      <c r="C27" s="137" t="str">
        <f aca="false">CONCATENATE(A27,".",B27)</f>
        <v>PG 4.33.13</v>
      </c>
      <c r="D27" s="117" t="s">
        <v>152</v>
      </c>
      <c r="E27" s="122" t="s">
        <v>54</v>
      </c>
      <c r="F27" s="128"/>
      <c r="G27" s="120"/>
      <c r="H27" s="118" t="s">
        <v>153</v>
      </c>
      <c r="I27" s="121"/>
      <c r="J27" s="124"/>
      <c r="K27" s="124"/>
      <c r="L27" s="124"/>
      <c r="M27" s="159"/>
      <c r="N27" s="160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customFormat="false" ht="27.75" hidden="false" customHeight="true" outlineLevel="0" collapsed="false">
      <c r="A28" s="106"/>
      <c r="B28" s="127"/>
      <c r="C28" s="108" t="str">
        <f aca="false">CONCATENATE(A28,".",B28)</f>
        <v>.</v>
      </c>
      <c r="D28" s="180"/>
      <c r="E28" s="124"/>
      <c r="F28" s="119"/>
      <c r="G28" s="120"/>
      <c r="H28" s="120"/>
      <c r="I28" s="121"/>
      <c r="J28" s="124"/>
      <c r="K28" s="124"/>
      <c r="L28" s="124"/>
      <c r="M28" s="159"/>
      <c r="N28" s="160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customFormat="false" ht="27.75" hidden="false" customHeight="true" outlineLevel="0" collapsed="false">
      <c r="A29" s="106"/>
      <c r="B29" s="127"/>
      <c r="C29" s="108" t="str">
        <f aca="false">CONCATENATE(A29,".",B29)</f>
        <v>.</v>
      </c>
      <c r="D29" s="180"/>
      <c r="E29" s="124"/>
      <c r="F29" s="119"/>
      <c r="G29" s="120"/>
      <c r="H29" s="120"/>
      <c r="I29" s="121"/>
      <c r="J29" s="124"/>
      <c r="K29" s="124"/>
      <c r="L29" s="124"/>
      <c r="M29" s="159"/>
      <c r="N29" s="160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customFormat="false" ht="27.75" hidden="false" customHeight="true" outlineLevel="0" collapsed="false">
      <c r="A30" s="106"/>
      <c r="B30" s="127"/>
      <c r="C30" s="108" t="str">
        <f aca="false">CONCATENATE(A30,".",B30)</f>
        <v>.</v>
      </c>
      <c r="D30" s="180"/>
      <c r="E30" s="124"/>
      <c r="F30" s="119"/>
      <c r="G30" s="120"/>
      <c r="H30" s="120"/>
      <c r="I30" s="121"/>
      <c r="J30" s="124"/>
      <c r="K30" s="124"/>
      <c r="L30" s="124"/>
      <c r="M30" s="159"/>
      <c r="N30" s="160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customFormat="false" ht="27.75" hidden="false" customHeight="true" outlineLevel="0" collapsed="false">
      <c r="A31" s="106"/>
      <c r="B31" s="127"/>
      <c r="C31" s="108" t="str">
        <f aca="false">CONCATENATE(A31,".",B31)</f>
        <v>.</v>
      </c>
      <c r="D31" s="180"/>
      <c r="E31" s="124"/>
      <c r="F31" s="119"/>
      <c r="G31" s="120"/>
      <c r="H31" s="120"/>
      <c r="I31" s="121"/>
      <c r="J31" s="124"/>
      <c r="K31" s="124"/>
      <c r="L31" s="124"/>
      <c r="M31" s="159"/>
      <c r="N31" s="160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customFormat="false" ht="27.75" hidden="false" customHeight="true" outlineLevel="0" collapsed="false">
      <c r="A32" s="106"/>
      <c r="B32" s="127"/>
      <c r="C32" s="108" t="str">
        <f aca="false">CONCATENATE(A32,".",B32)</f>
        <v>.</v>
      </c>
      <c r="D32" s="180"/>
      <c r="E32" s="124"/>
      <c r="F32" s="119"/>
      <c r="G32" s="120"/>
      <c r="H32" s="120"/>
      <c r="I32" s="121"/>
      <c r="J32" s="124"/>
      <c r="K32" s="124"/>
      <c r="L32" s="124"/>
      <c r="M32" s="159"/>
      <c r="N32" s="160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customFormat="false" ht="27.75" hidden="false" customHeight="true" outlineLevel="0" collapsed="false">
      <c r="A33" s="106"/>
      <c r="B33" s="127"/>
      <c r="C33" s="108" t="str">
        <f aca="false">CONCATENATE(A33,".",B33)</f>
        <v>.</v>
      </c>
      <c r="D33" s="180"/>
      <c r="E33" s="124"/>
      <c r="F33" s="119"/>
      <c r="G33" s="120"/>
      <c r="H33" s="120"/>
      <c r="I33" s="121"/>
      <c r="J33" s="124"/>
      <c r="K33" s="124"/>
      <c r="L33" s="124"/>
      <c r="M33" s="159"/>
      <c r="N33" s="160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customFormat="false" ht="27.75" hidden="false" customHeight="true" outlineLevel="0" collapsed="false">
      <c r="A34" s="106"/>
      <c r="B34" s="127"/>
      <c r="C34" s="108" t="str">
        <f aca="false">CONCATENATE(A34,".",B34)</f>
        <v>.</v>
      </c>
      <c r="D34" s="180"/>
      <c r="E34" s="124"/>
      <c r="F34" s="119"/>
      <c r="G34" s="120"/>
      <c r="H34" s="120"/>
      <c r="I34" s="121"/>
      <c r="J34" s="124"/>
      <c r="K34" s="124"/>
      <c r="L34" s="124"/>
      <c r="M34" s="159"/>
      <c r="N34" s="160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customFormat="false" ht="27.75" hidden="false" customHeight="true" outlineLevel="0" collapsed="false">
      <c r="A35" s="106"/>
      <c r="B35" s="127"/>
      <c r="C35" s="108" t="str">
        <f aca="false">CONCATENATE(A35,".",B35)</f>
        <v>.</v>
      </c>
      <c r="D35" s="180"/>
      <c r="E35" s="124"/>
      <c r="F35" s="119"/>
      <c r="G35" s="120"/>
      <c r="H35" s="120"/>
      <c r="I35" s="121"/>
      <c r="J35" s="124"/>
      <c r="K35" s="124"/>
      <c r="L35" s="124"/>
      <c r="M35" s="159"/>
      <c r="N35" s="160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customFormat="false" ht="27.75" hidden="false" customHeight="true" outlineLevel="0" collapsed="false">
      <c r="A36" s="106"/>
      <c r="B36" s="127"/>
      <c r="C36" s="108" t="str">
        <f aca="false">CONCATENATE(A36,".",B36)</f>
        <v>.</v>
      </c>
      <c r="D36" s="180"/>
      <c r="E36" s="124"/>
      <c r="F36" s="119"/>
      <c r="G36" s="120"/>
      <c r="H36" s="120"/>
      <c r="I36" s="121"/>
      <c r="J36" s="124"/>
      <c r="K36" s="124"/>
      <c r="L36" s="124"/>
      <c r="M36" s="159"/>
      <c r="N36" s="160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customFormat="false" ht="27.75" hidden="false" customHeight="true" outlineLevel="0" collapsed="false">
      <c r="A37" s="106"/>
      <c r="B37" s="127"/>
      <c r="C37" s="108" t="str">
        <f aca="false">CONCATENATE(A37,".",B37)</f>
        <v>.</v>
      </c>
      <c r="D37" s="180"/>
      <c r="E37" s="124"/>
      <c r="F37" s="119"/>
      <c r="G37" s="120"/>
      <c r="H37" s="120"/>
      <c r="I37" s="121"/>
      <c r="J37" s="124"/>
      <c r="K37" s="124"/>
      <c r="L37" s="124"/>
      <c r="M37" s="159"/>
      <c r="N37" s="160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customFormat="false" ht="27.75" hidden="false" customHeight="true" outlineLevel="0" collapsed="false">
      <c r="A38" s="106"/>
      <c r="B38" s="127"/>
      <c r="C38" s="108" t="str">
        <f aca="false">CONCATENATE(A38,".",B38)</f>
        <v>.</v>
      </c>
      <c r="D38" s="180"/>
      <c r="E38" s="124"/>
      <c r="F38" s="119"/>
      <c r="G38" s="120"/>
      <c r="H38" s="120"/>
      <c r="I38" s="121"/>
      <c r="J38" s="124"/>
      <c r="K38" s="124"/>
      <c r="L38" s="124"/>
      <c r="M38" s="159"/>
      <c r="N38" s="160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customFormat="false" ht="27.75" hidden="false" customHeight="true" outlineLevel="0" collapsed="false">
      <c r="A39" s="106"/>
      <c r="B39" s="127"/>
      <c r="C39" s="108" t="str">
        <f aca="false">CONCATENATE(A39,".",B39)</f>
        <v>.</v>
      </c>
      <c r="D39" s="180"/>
      <c r="E39" s="124"/>
      <c r="F39" s="119"/>
      <c r="G39" s="120"/>
      <c r="H39" s="120"/>
      <c r="I39" s="121"/>
      <c r="J39" s="124"/>
      <c r="K39" s="124"/>
      <c r="L39" s="124"/>
      <c r="M39" s="159"/>
      <c r="N39" s="160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customFormat="false" ht="27.75" hidden="false" customHeight="true" outlineLevel="0" collapsed="false">
      <c r="A40" s="106"/>
      <c r="B40" s="127"/>
      <c r="C40" s="108" t="str">
        <f aca="false">CONCATENATE(A40,".",B40)</f>
        <v>.</v>
      </c>
      <c r="D40" s="180"/>
      <c r="E40" s="124"/>
      <c r="F40" s="119"/>
      <c r="G40" s="120"/>
      <c r="H40" s="120"/>
      <c r="I40" s="121"/>
      <c r="J40" s="124"/>
      <c r="K40" s="124"/>
      <c r="L40" s="124"/>
      <c r="M40" s="159"/>
      <c r="N40" s="160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customFormat="false" ht="27.75" hidden="false" customHeight="true" outlineLevel="0" collapsed="false">
      <c r="A41" s="106"/>
      <c r="B41" s="127"/>
      <c r="C41" s="108" t="str">
        <f aca="false">CONCATENATE(A41,".",B41)</f>
        <v>.</v>
      </c>
      <c r="D41" s="180"/>
      <c r="E41" s="124"/>
      <c r="F41" s="119"/>
      <c r="G41" s="120"/>
      <c r="H41" s="120"/>
      <c r="I41" s="121"/>
      <c r="J41" s="124"/>
      <c r="K41" s="124"/>
      <c r="L41" s="124"/>
      <c r="M41" s="159"/>
      <c r="N41" s="160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customFormat="false" ht="27.75" hidden="false" customHeight="true" outlineLevel="0" collapsed="false">
      <c r="A42" s="106"/>
      <c r="B42" s="127"/>
      <c r="C42" s="108" t="str">
        <f aca="false">CONCATENATE(A42,".",B42)</f>
        <v>.</v>
      </c>
      <c r="D42" s="180"/>
      <c r="E42" s="124"/>
      <c r="F42" s="119"/>
      <c r="G42" s="120"/>
      <c r="H42" s="120"/>
      <c r="I42" s="121"/>
      <c r="J42" s="124"/>
      <c r="K42" s="124"/>
      <c r="L42" s="124"/>
      <c r="M42" s="159"/>
      <c r="N42" s="160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customFormat="false" ht="27.75" hidden="false" customHeight="true" outlineLevel="0" collapsed="false">
      <c r="A43" s="106"/>
      <c r="B43" s="127"/>
      <c r="C43" s="108" t="str">
        <f aca="false">CONCATENATE(A43,".",B43)</f>
        <v>.</v>
      </c>
      <c r="D43" s="180"/>
      <c r="E43" s="124"/>
      <c r="F43" s="119"/>
      <c r="G43" s="120"/>
      <c r="H43" s="120"/>
      <c r="I43" s="121"/>
      <c r="J43" s="124"/>
      <c r="K43" s="124"/>
      <c r="L43" s="124"/>
      <c r="M43" s="159"/>
      <c r="N43" s="160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customFormat="false" ht="27.75" hidden="false" customHeight="true" outlineLevel="0" collapsed="false">
      <c r="A44" s="106"/>
      <c r="B44" s="127"/>
      <c r="C44" s="108" t="str">
        <f aca="false">CONCATENATE(A44,".",B44)</f>
        <v>.</v>
      </c>
      <c r="D44" s="180"/>
      <c r="E44" s="124"/>
      <c r="F44" s="119"/>
      <c r="G44" s="120"/>
      <c r="H44" s="120"/>
      <c r="I44" s="121"/>
      <c r="J44" s="124"/>
      <c r="K44" s="124"/>
      <c r="L44" s="124"/>
      <c r="M44" s="159"/>
      <c r="N44" s="160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customFormat="false" ht="27.75" hidden="false" customHeight="true" outlineLevel="0" collapsed="false">
      <c r="A45" s="106"/>
      <c r="B45" s="127"/>
      <c r="C45" s="108" t="str">
        <f aca="false">CONCATENATE(A45,".",B45)</f>
        <v>.</v>
      </c>
      <c r="D45" s="180"/>
      <c r="E45" s="124"/>
      <c r="F45" s="119"/>
      <c r="G45" s="120"/>
      <c r="H45" s="120"/>
      <c r="I45" s="121"/>
      <c r="J45" s="124"/>
      <c r="K45" s="124"/>
      <c r="L45" s="124"/>
      <c r="M45" s="159"/>
      <c r="N45" s="160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customFormat="false" ht="27.75" hidden="false" customHeight="true" outlineLevel="0" collapsed="false">
      <c r="A46" s="106"/>
      <c r="B46" s="127"/>
      <c r="C46" s="108" t="str">
        <f aca="false">CONCATENATE(A46,".",B46)</f>
        <v>.</v>
      </c>
      <c r="D46" s="180"/>
      <c r="E46" s="124"/>
      <c r="F46" s="119"/>
      <c r="G46" s="120"/>
      <c r="H46" s="120"/>
      <c r="I46" s="121"/>
      <c r="J46" s="124"/>
      <c r="K46" s="124"/>
      <c r="L46" s="124"/>
      <c r="M46" s="159"/>
      <c r="N46" s="160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47" customFormat="false" ht="27.75" hidden="false" customHeight="true" outlineLevel="0" collapsed="false">
      <c r="A47" s="106"/>
      <c r="B47" s="127"/>
      <c r="C47" s="108" t="str">
        <f aca="false">CONCATENATE(A47,".",B47)</f>
        <v>.</v>
      </c>
      <c r="D47" s="180"/>
      <c r="E47" s="124"/>
      <c r="F47" s="119"/>
      <c r="G47" s="120"/>
      <c r="H47" s="120"/>
      <c r="I47" s="121"/>
      <c r="J47" s="124"/>
      <c r="K47" s="124"/>
      <c r="L47" s="124"/>
      <c r="M47" s="159"/>
      <c r="N47" s="160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customFormat="false" ht="27.75" hidden="false" customHeight="true" outlineLevel="0" collapsed="false">
      <c r="A48" s="106"/>
      <c r="B48" s="127"/>
      <c r="C48" s="108" t="str">
        <f aca="false">CONCATENATE(A48,".",B48)</f>
        <v>.</v>
      </c>
      <c r="D48" s="180"/>
      <c r="E48" s="124"/>
      <c r="F48" s="119"/>
      <c r="G48" s="120"/>
      <c r="H48" s="120"/>
      <c r="I48" s="121"/>
      <c r="J48" s="124"/>
      <c r="K48" s="124"/>
      <c r="L48" s="124"/>
      <c r="M48" s="159"/>
      <c r="N48" s="160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customFormat="false" ht="27.75" hidden="false" customHeight="true" outlineLevel="0" collapsed="false">
      <c r="A49" s="106"/>
      <c r="B49" s="127"/>
      <c r="C49" s="108" t="str">
        <f aca="false">CONCATENATE(A49,".",B49)</f>
        <v>.</v>
      </c>
      <c r="D49" s="180"/>
      <c r="E49" s="124"/>
      <c r="F49" s="119"/>
      <c r="G49" s="120"/>
      <c r="H49" s="120"/>
      <c r="I49" s="121"/>
      <c r="J49" s="124"/>
      <c r="K49" s="124"/>
      <c r="L49" s="124"/>
      <c r="M49" s="159"/>
      <c r="N49" s="160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</row>
    <row r="50" customFormat="false" ht="27.75" hidden="false" customHeight="true" outlineLevel="0" collapsed="false">
      <c r="A50" s="106"/>
      <c r="B50" s="127"/>
      <c r="C50" s="137" t="str">
        <f aca="false">CONCATENATE(A50,".",B50)</f>
        <v>.</v>
      </c>
      <c r="D50" s="180"/>
      <c r="E50" s="124"/>
      <c r="F50" s="119"/>
      <c r="G50" s="120"/>
      <c r="H50" s="120"/>
      <c r="I50" s="121"/>
      <c r="J50" s="124"/>
      <c r="K50" s="124"/>
      <c r="L50" s="124"/>
      <c r="M50" s="124"/>
      <c r="N50" s="123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</row>
    <row r="51" customFormat="false" ht="27.75" hidden="false" customHeight="true" outlineLevel="0" collapsed="false">
      <c r="A51" s="106"/>
      <c r="B51" s="127"/>
      <c r="C51" s="137" t="str">
        <f aca="false">CONCATENATE(A51,".",B51)</f>
        <v>.</v>
      </c>
      <c r="D51" s="180"/>
      <c r="E51" s="124"/>
      <c r="F51" s="119"/>
      <c r="G51" s="120"/>
      <c r="H51" s="120"/>
      <c r="I51" s="121"/>
      <c r="J51" s="124"/>
      <c r="K51" s="124"/>
      <c r="L51" s="124"/>
      <c r="M51" s="124"/>
      <c r="N51" s="123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customFormat="false" ht="27.75" hidden="false" customHeight="true" outlineLevel="0" collapsed="false">
      <c r="A52" s="106"/>
      <c r="B52" s="127"/>
      <c r="C52" s="137" t="str">
        <f aca="false">CONCATENATE(A52,".",B52)</f>
        <v>.</v>
      </c>
      <c r="D52" s="180"/>
      <c r="E52" s="124"/>
      <c r="F52" s="119"/>
      <c r="G52" s="120"/>
      <c r="H52" s="120"/>
      <c r="I52" s="121"/>
      <c r="J52" s="124"/>
      <c r="K52" s="124"/>
      <c r="L52" s="124"/>
      <c r="M52" s="124"/>
      <c r="N52" s="123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customFormat="false" ht="27.75" hidden="false" customHeight="true" outlineLevel="0" collapsed="false">
      <c r="A53" s="106"/>
      <c r="B53" s="127"/>
      <c r="C53" s="137" t="str">
        <f aca="false">CONCATENATE(A53,".",B53)</f>
        <v>.</v>
      </c>
      <c r="D53" s="180"/>
      <c r="E53" s="124"/>
      <c r="F53" s="119"/>
      <c r="G53" s="120"/>
      <c r="H53" s="120"/>
      <c r="I53" s="121"/>
      <c r="J53" s="124"/>
      <c r="K53" s="124"/>
      <c r="L53" s="124"/>
      <c r="M53" s="124"/>
      <c r="N53" s="12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</row>
    <row r="54" customFormat="false" ht="27.75" hidden="false" customHeight="true" outlineLevel="0" collapsed="false">
      <c r="A54" s="106"/>
      <c r="B54" s="127"/>
      <c r="C54" s="137" t="str">
        <f aca="false">CONCATENATE(A54,".",B54)</f>
        <v>.</v>
      </c>
      <c r="D54" s="180"/>
      <c r="E54" s="124"/>
      <c r="F54" s="119"/>
      <c r="G54" s="120"/>
      <c r="H54" s="120"/>
      <c r="I54" s="121"/>
      <c r="J54" s="124"/>
      <c r="K54" s="124"/>
      <c r="L54" s="124"/>
      <c r="M54" s="124"/>
      <c r="N54" s="123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customFormat="false" ht="27.75" hidden="false" customHeight="true" outlineLevel="0" collapsed="false">
      <c r="A55" s="106"/>
      <c r="B55" s="127"/>
      <c r="C55" s="137" t="str">
        <f aca="false">CONCATENATE(A55,".",B55)</f>
        <v>.</v>
      </c>
      <c r="D55" s="180"/>
      <c r="E55" s="124"/>
      <c r="F55" s="119"/>
      <c r="G55" s="120"/>
      <c r="H55" s="120"/>
      <c r="I55" s="121"/>
      <c r="J55" s="124"/>
      <c r="K55" s="124"/>
      <c r="L55" s="124"/>
      <c r="M55" s="124"/>
      <c r="N55" s="123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customFormat="false" ht="27.75" hidden="false" customHeight="true" outlineLevel="0" collapsed="false">
      <c r="A56" s="106"/>
      <c r="B56" s="127"/>
      <c r="C56" s="137" t="str">
        <f aca="false">CONCATENATE(A56,".",B56)</f>
        <v>.</v>
      </c>
      <c r="D56" s="180"/>
      <c r="E56" s="124"/>
      <c r="F56" s="119"/>
      <c r="G56" s="120"/>
      <c r="H56" s="120"/>
      <c r="I56" s="121"/>
      <c r="J56" s="124"/>
      <c r="K56" s="124"/>
      <c r="L56" s="124"/>
      <c r="M56" s="124"/>
      <c r="N56" s="123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customFormat="false" ht="27.75" hidden="false" customHeight="true" outlineLevel="0" collapsed="false">
      <c r="A57" s="106"/>
      <c r="B57" s="127"/>
      <c r="C57" s="137" t="str">
        <f aca="false">CONCATENATE(A57,".",B57)</f>
        <v>.</v>
      </c>
      <c r="D57" s="180"/>
      <c r="E57" s="124"/>
      <c r="F57" s="119"/>
      <c r="G57" s="120"/>
      <c r="H57" s="120"/>
      <c r="I57" s="121"/>
      <c r="J57" s="124"/>
      <c r="K57" s="124"/>
      <c r="L57" s="124"/>
      <c r="M57" s="124"/>
      <c r="N57" s="123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customFormat="false" ht="27.75" hidden="false" customHeight="true" outlineLevel="0" collapsed="false">
      <c r="A58" s="106"/>
      <c r="B58" s="127"/>
      <c r="C58" s="137" t="str">
        <f aca="false">CONCATENATE(A58,".",B58)</f>
        <v>.</v>
      </c>
      <c r="D58" s="180"/>
      <c r="E58" s="124"/>
      <c r="F58" s="119"/>
      <c r="G58" s="120"/>
      <c r="H58" s="120"/>
      <c r="I58" s="121"/>
      <c r="J58" s="124"/>
      <c r="K58" s="124"/>
      <c r="L58" s="124"/>
      <c r="M58" s="124"/>
      <c r="N58" s="123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customFormat="false" ht="27.75" hidden="false" customHeight="true" outlineLevel="0" collapsed="false">
      <c r="A59" s="106"/>
      <c r="B59" s="127"/>
      <c r="C59" s="137" t="str">
        <f aca="false">CONCATENATE(A59,".",B59)</f>
        <v>.</v>
      </c>
      <c r="D59" s="180"/>
      <c r="E59" s="124"/>
      <c r="F59" s="119"/>
      <c r="G59" s="120"/>
      <c r="H59" s="120"/>
      <c r="I59" s="121"/>
      <c r="J59" s="124"/>
      <c r="K59" s="124"/>
      <c r="L59" s="124"/>
      <c r="M59" s="124"/>
      <c r="N59" s="123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customFormat="false" ht="27.75" hidden="false" customHeight="true" outlineLevel="0" collapsed="false">
      <c r="A60" s="106"/>
      <c r="B60" s="127"/>
      <c r="C60" s="137" t="str">
        <f aca="false">CONCATENATE(A60,".",B60)</f>
        <v>.</v>
      </c>
      <c r="D60" s="180"/>
      <c r="E60" s="124"/>
      <c r="F60" s="119"/>
      <c r="G60" s="120"/>
      <c r="H60" s="120"/>
      <c r="I60" s="121"/>
      <c r="J60" s="124"/>
      <c r="K60" s="124"/>
      <c r="L60" s="124"/>
      <c r="M60" s="124"/>
      <c r="N60" s="123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customFormat="false" ht="27.75" hidden="false" customHeight="true" outlineLevel="0" collapsed="false">
      <c r="A61" s="106"/>
      <c r="B61" s="127"/>
      <c r="C61" s="137" t="str">
        <f aca="false">CONCATENATE(A61,".",B61)</f>
        <v>.</v>
      </c>
      <c r="D61" s="180"/>
      <c r="E61" s="124"/>
      <c r="F61" s="119"/>
      <c r="G61" s="120"/>
      <c r="H61" s="120"/>
      <c r="I61" s="121"/>
      <c r="J61" s="124"/>
      <c r="K61" s="124"/>
      <c r="L61" s="124"/>
      <c r="M61" s="124"/>
      <c r="N61" s="123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customFormat="false" ht="27.75" hidden="false" customHeight="true" outlineLevel="0" collapsed="false">
      <c r="A62" s="106"/>
      <c r="B62" s="127"/>
      <c r="C62" s="137" t="str">
        <f aca="false">CONCATENATE(A62,".",B62)</f>
        <v>.</v>
      </c>
      <c r="D62" s="180"/>
      <c r="E62" s="124"/>
      <c r="F62" s="119"/>
      <c r="G62" s="120"/>
      <c r="H62" s="120"/>
      <c r="I62" s="121"/>
      <c r="J62" s="124"/>
      <c r="K62" s="124"/>
      <c r="L62" s="124"/>
      <c r="M62" s="124"/>
      <c r="N62" s="12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</row>
    <row r="63" customFormat="false" ht="27.75" hidden="false" customHeight="true" outlineLevel="0" collapsed="false">
      <c r="A63" s="106"/>
      <c r="B63" s="127"/>
      <c r="C63" s="137" t="str">
        <f aca="false">CONCATENATE(A63,".",B63)</f>
        <v>.</v>
      </c>
      <c r="D63" s="180"/>
      <c r="E63" s="124"/>
      <c r="F63" s="119"/>
      <c r="G63" s="120"/>
      <c r="H63" s="120"/>
      <c r="I63" s="121"/>
      <c r="J63" s="124"/>
      <c r="K63" s="124"/>
      <c r="L63" s="124"/>
      <c r="M63" s="124"/>
      <c r="N63" s="123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</row>
    <row r="64" customFormat="false" ht="27.75" hidden="false" customHeight="true" outlineLevel="0" collapsed="false">
      <c r="A64" s="106"/>
      <c r="B64" s="127"/>
      <c r="C64" s="137" t="str">
        <f aca="false">CONCATENATE(A64,".",B64)</f>
        <v>.</v>
      </c>
      <c r="D64" s="180"/>
      <c r="E64" s="124"/>
      <c r="F64" s="119"/>
      <c r="G64" s="120"/>
      <c r="H64" s="120"/>
      <c r="I64" s="121"/>
      <c r="J64" s="124"/>
      <c r="K64" s="124"/>
      <c r="L64" s="124"/>
      <c r="M64" s="124"/>
      <c r="N64" s="123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</row>
    <row r="65" customFormat="false" ht="27.75" hidden="false" customHeight="true" outlineLevel="0" collapsed="false">
      <c r="A65" s="106"/>
      <c r="B65" s="127"/>
      <c r="C65" s="137" t="str">
        <f aca="false">CONCATENATE(A65,".",B65)</f>
        <v>.</v>
      </c>
      <c r="D65" s="180"/>
      <c r="E65" s="124"/>
      <c r="F65" s="119"/>
      <c r="G65" s="120"/>
      <c r="H65" s="120"/>
      <c r="I65" s="121"/>
      <c r="J65" s="124"/>
      <c r="K65" s="124"/>
      <c r="L65" s="124"/>
      <c r="M65" s="124"/>
      <c r="N65" s="123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</row>
    <row r="66" customFormat="false" ht="27.75" hidden="false" customHeight="true" outlineLevel="0" collapsed="false">
      <c r="A66" s="106"/>
      <c r="B66" s="127"/>
      <c r="C66" s="137" t="str">
        <f aca="false">CONCATENATE(A66,".",B66)</f>
        <v>.</v>
      </c>
      <c r="D66" s="180"/>
      <c r="E66" s="124"/>
      <c r="F66" s="119"/>
      <c r="G66" s="120"/>
      <c r="H66" s="120"/>
      <c r="I66" s="121"/>
      <c r="J66" s="124"/>
      <c r="K66" s="124"/>
      <c r="L66" s="124"/>
      <c r="M66" s="124"/>
      <c r="N66" s="12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</row>
    <row r="67" customFormat="false" ht="27.75" hidden="false" customHeight="true" outlineLevel="0" collapsed="false">
      <c r="A67" s="106"/>
      <c r="B67" s="127"/>
      <c r="C67" s="137" t="str">
        <f aca="false">CONCATENATE(A67,".",B67)</f>
        <v>.</v>
      </c>
      <c r="D67" s="180"/>
      <c r="E67" s="124"/>
      <c r="F67" s="119"/>
      <c r="G67" s="120"/>
      <c r="H67" s="120"/>
      <c r="I67" s="121"/>
      <c r="J67" s="124"/>
      <c r="K67" s="124"/>
      <c r="L67" s="124"/>
      <c r="M67" s="124"/>
      <c r="N67" s="12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customFormat="false" ht="27.75" hidden="false" customHeight="true" outlineLevel="0" collapsed="false">
      <c r="A68" s="106"/>
      <c r="B68" s="127"/>
      <c r="C68" s="137" t="str">
        <f aca="false">CONCATENATE(A68,".",B68)</f>
        <v>.</v>
      </c>
      <c r="D68" s="180"/>
      <c r="E68" s="124"/>
      <c r="F68" s="119"/>
      <c r="G68" s="120"/>
      <c r="H68" s="120"/>
      <c r="I68" s="121"/>
      <c r="J68" s="124"/>
      <c r="K68" s="124"/>
      <c r="L68" s="124"/>
      <c r="M68" s="124"/>
      <c r="N68" s="12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customFormat="false" ht="27.75" hidden="false" customHeight="true" outlineLevel="0" collapsed="false">
      <c r="A69" s="106"/>
      <c r="B69" s="127"/>
      <c r="C69" s="137" t="str">
        <f aca="false">CONCATENATE(A69,".",B69)</f>
        <v>.</v>
      </c>
      <c r="D69" s="180"/>
      <c r="E69" s="124"/>
      <c r="F69" s="119"/>
      <c r="G69" s="120"/>
      <c r="H69" s="120"/>
      <c r="I69" s="121"/>
      <c r="J69" s="124"/>
      <c r="K69" s="124"/>
      <c r="L69" s="124"/>
      <c r="M69" s="124"/>
      <c r="N69" s="123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customFormat="false" ht="27.75" hidden="false" customHeight="true" outlineLevel="0" collapsed="false">
      <c r="A70" s="106"/>
      <c r="B70" s="127"/>
      <c r="C70" s="137" t="str">
        <f aca="false">CONCATENATE(A70,".",B70)</f>
        <v>.</v>
      </c>
      <c r="D70" s="180"/>
      <c r="E70" s="124"/>
      <c r="F70" s="119"/>
      <c r="G70" s="120"/>
      <c r="H70" s="120"/>
      <c r="I70" s="121"/>
      <c r="J70" s="124"/>
      <c r="K70" s="124"/>
      <c r="L70" s="124"/>
      <c r="M70" s="124"/>
      <c r="N70" s="12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customFormat="false" ht="27.75" hidden="false" customHeight="true" outlineLevel="0" collapsed="false">
      <c r="A71" s="106"/>
      <c r="B71" s="127"/>
      <c r="C71" s="137" t="str">
        <f aca="false">CONCATENATE(A71,".",B71)</f>
        <v>.</v>
      </c>
      <c r="D71" s="180"/>
      <c r="E71" s="124"/>
      <c r="F71" s="119"/>
      <c r="G71" s="120"/>
      <c r="H71" s="120"/>
      <c r="I71" s="121"/>
      <c r="J71" s="124"/>
      <c r="K71" s="124"/>
      <c r="L71" s="124"/>
      <c r="M71" s="124"/>
      <c r="N71" s="123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customFormat="false" ht="27.75" hidden="false" customHeight="true" outlineLevel="0" collapsed="false">
      <c r="A72" s="106"/>
      <c r="B72" s="127"/>
      <c r="C72" s="137" t="str">
        <f aca="false">CONCATENATE(A72,".",B72)</f>
        <v>.</v>
      </c>
      <c r="D72" s="180"/>
      <c r="E72" s="124"/>
      <c r="F72" s="119"/>
      <c r="G72" s="120"/>
      <c r="H72" s="120"/>
      <c r="I72" s="121"/>
      <c r="J72" s="124"/>
      <c r="K72" s="124"/>
      <c r="L72" s="124"/>
      <c r="M72" s="124"/>
      <c r="N72" s="123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customFormat="false" ht="27.75" hidden="false" customHeight="true" outlineLevel="0" collapsed="false">
      <c r="A73" s="106"/>
      <c r="B73" s="127"/>
      <c r="C73" s="137" t="str">
        <f aca="false">CONCATENATE(A73,".",B73)</f>
        <v>.</v>
      </c>
      <c r="D73" s="180"/>
      <c r="E73" s="124"/>
      <c r="F73" s="119"/>
      <c r="G73" s="120"/>
      <c r="H73" s="120"/>
      <c r="I73" s="121"/>
      <c r="J73" s="124"/>
      <c r="K73" s="124"/>
      <c r="L73" s="124"/>
      <c r="M73" s="124"/>
      <c r="N73" s="123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customFormat="false" ht="27.75" hidden="false" customHeight="true" outlineLevel="0" collapsed="false">
      <c r="A74" s="106"/>
      <c r="B74" s="127"/>
      <c r="C74" s="137" t="str">
        <f aca="false">CONCATENATE(A74,".",B74)</f>
        <v>.</v>
      </c>
      <c r="D74" s="180"/>
      <c r="E74" s="124"/>
      <c r="F74" s="119"/>
      <c r="G74" s="120"/>
      <c r="H74" s="120"/>
      <c r="I74" s="121"/>
      <c r="J74" s="124"/>
      <c r="K74" s="124"/>
      <c r="L74" s="124"/>
      <c r="M74" s="124"/>
      <c r="N74" s="123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customFormat="false" ht="27.75" hidden="false" customHeight="true" outlineLevel="0" collapsed="false">
      <c r="A75" s="106"/>
      <c r="B75" s="127"/>
      <c r="C75" s="137" t="str">
        <f aca="false">CONCATENATE(A75,".",B75)</f>
        <v>.</v>
      </c>
      <c r="D75" s="180"/>
      <c r="E75" s="124"/>
      <c r="F75" s="119"/>
      <c r="G75" s="120"/>
      <c r="H75" s="120"/>
      <c r="I75" s="121"/>
      <c r="J75" s="124"/>
      <c r="K75" s="124"/>
      <c r="L75" s="124"/>
      <c r="M75" s="124"/>
      <c r="N75" s="123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customFormat="false" ht="27.75" hidden="false" customHeight="true" outlineLevel="0" collapsed="false">
      <c r="A76" s="106"/>
      <c r="B76" s="127"/>
      <c r="C76" s="137" t="str">
        <f aca="false">CONCATENATE(A76,".",B76)</f>
        <v>.</v>
      </c>
      <c r="D76" s="180"/>
      <c r="E76" s="124"/>
      <c r="F76" s="119"/>
      <c r="G76" s="120"/>
      <c r="H76" s="120"/>
      <c r="I76" s="121"/>
      <c r="J76" s="124"/>
      <c r="K76" s="124"/>
      <c r="L76" s="124"/>
      <c r="M76" s="124"/>
      <c r="N76" s="123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customFormat="false" ht="27.75" hidden="false" customHeight="true" outlineLevel="0" collapsed="false">
      <c r="A77" s="106"/>
      <c r="B77" s="127"/>
      <c r="C77" s="137" t="str">
        <f aca="false">CONCATENATE(A77,".",B77)</f>
        <v>.</v>
      </c>
      <c r="D77" s="180"/>
      <c r="E77" s="124"/>
      <c r="F77" s="119"/>
      <c r="G77" s="120"/>
      <c r="H77" s="120"/>
      <c r="I77" s="121"/>
      <c r="J77" s="124"/>
      <c r="K77" s="124"/>
      <c r="L77" s="124"/>
      <c r="M77" s="124"/>
      <c r="N77" s="123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customFormat="false" ht="27.75" hidden="false" customHeight="true" outlineLevel="0" collapsed="false">
      <c r="A78" s="106"/>
      <c r="B78" s="127"/>
      <c r="C78" s="137" t="str">
        <f aca="false">CONCATENATE(A78,".",B78)</f>
        <v>.</v>
      </c>
      <c r="D78" s="180"/>
      <c r="E78" s="124"/>
      <c r="F78" s="119"/>
      <c r="G78" s="120"/>
      <c r="H78" s="120"/>
      <c r="I78" s="121"/>
      <c r="J78" s="124"/>
      <c r="K78" s="124"/>
      <c r="L78" s="124"/>
      <c r="M78" s="124"/>
      <c r="N78" s="123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customFormat="false" ht="27.75" hidden="false" customHeight="true" outlineLevel="0" collapsed="false">
      <c r="A79" s="106"/>
      <c r="B79" s="127"/>
      <c r="C79" s="137" t="str">
        <f aca="false">CONCATENATE(A79,".",B79)</f>
        <v>.</v>
      </c>
      <c r="D79" s="180"/>
      <c r="E79" s="124"/>
      <c r="F79" s="119"/>
      <c r="G79" s="120"/>
      <c r="H79" s="120"/>
      <c r="I79" s="121"/>
      <c r="J79" s="124"/>
      <c r="K79" s="124"/>
      <c r="L79" s="124"/>
      <c r="M79" s="124"/>
      <c r="N79" s="123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customFormat="false" ht="27.75" hidden="false" customHeight="true" outlineLevel="0" collapsed="false">
      <c r="A80" s="106"/>
      <c r="B80" s="127"/>
      <c r="C80" s="137" t="str">
        <f aca="false">CONCATENATE(A80,".",B80)</f>
        <v>.</v>
      </c>
      <c r="D80" s="180"/>
      <c r="E80" s="124"/>
      <c r="F80" s="119"/>
      <c r="G80" s="120"/>
      <c r="H80" s="120"/>
      <c r="I80" s="121"/>
      <c r="J80" s="124"/>
      <c r="K80" s="124"/>
      <c r="L80" s="124"/>
      <c r="M80" s="124"/>
      <c r="N80" s="123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customFormat="false" ht="27.75" hidden="false" customHeight="true" outlineLevel="0" collapsed="false">
      <c r="A81" s="106"/>
      <c r="B81" s="127"/>
      <c r="C81" s="137" t="str">
        <f aca="false">CONCATENATE(A81,".",B81)</f>
        <v>.</v>
      </c>
      <c r="D81" s="180"/>
      <c r="E81" s="124"/>
      <c r="F81" s="119"/>
      <c r="G81" s="120"/>
      <c r="H81" s="120"/>
      <c r="I81" s="121"/>
      <c r="J81" s="124"/>
      <c r="K81" s="124"/>
      <c r="L81" s="124"/>
      <c r="M81" s="124"/>
      <c r="N81" s="123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customFormat="false" ht="27.75" hidden="false" customHeight="true" outlineLevel="0" collapsed="false">
      <c r="A82" s="106"/>
      <c r="B82" s="127"/>
      <c r="C82" s="137" t="str">
        <f aca="false">CONCATENATE(A82,".",B82)</f>
        <v>.</v>
      </c>
      <c r="D82" s="180"/>
      <c r="E82" s="124"/>
      <c r="F82" s="119"/>
      <c r="G82" s="120"/>
      <c r="H82" s="120"/>
      <c r="I82" s="121"/>
      <c r="J82" s="124"/>
      <c r="K82" s="124"/>
      <c r="L82" s="124"/>
      <c r="M82" s="124"/>
      <c r="N82" s="123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customFormat="false" ht="27.75" hidden="false" customHeight="true" outlineLevel="0" collapsed="false">
      <c r="A83" s="106"/>
      <c r="B83" s="127"/>
      <c r="C83" s="137" t="str">
        <f aca="false">CONCATENATE(A83,".",B83)</f>
        <v>.</v>
      </c>
      <c r="D83" s="180"/>
      <c r="E83" s="124"/>
      <c r="F83" s="119"/>
      <c r="G83" s="120"/>
      <c r="H83" s="120"/>
      <c r="I83" s="121"/>
      <c r="J83" s="124"/>
      <c r="K83" s="124"/>
      <c r="L83" s="124"/>
      <c r="M83" s="124"/>
      <c r="N83" s="123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customFormat="false" ht="27.75" hidden="false" customHeight="true" outlineLevel="0" collapsed="false">
      <c r="A84" s="106"/>
      <c r="B84" s="127"/>
      <c r="C84" s="137" t="str">
        <f aca="false">CONCATENATE(A84,".",B84)</f>
        <v>.</v>
      </c>
      <c r="D84" s="180"/>
      <c r="E84" s="124"/>
      <c r="F84" s="119"/>
      <c r="G84" s="120"/>
      <c r="H84" s="120"/>
      <c r="I84" s="121"/>
      <c r="J84" s="124"/>
      <c r="K84" s="124"/>
      <c r="L84" s="124"/>
      <c r="M84" s="124"/>
      <c r="N84" s="123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customFormat="false" ht="27.75" hidden="false" customHeight="true" outlineLevel="0" collapsed="false">
      <c r="A85" s="106"/>
      <c r="B85" s="127"/>
      <c r="C85" s="137" t="str">
        <f aca="false">CONCATENATE(A85,".",B85)</f>
        <v>.</v>
      </c>
      <c r="D85" s="180"/>
      <c r="E85" s="124"/>
      <c r="F85" s="119"/>
      <c r="G85" s="120"/>
      <c r="H85" s="120"/>
      <c r="I85" s="121"/>
      <c r="J85" s="124"/>
      <c r="K85" s="124"/>
      <c r="L85" s="124"/>
      <c r="M85" s="124"/>
      <c r="N85" s="123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customFormat="false" ht="27.75" hidden="false" customHeight="true" outlineLevel="0" collapsed="false">
      <c r="A86" s="106"/>
      <c r="B86" s="127"/>
      <c r="C86" s="137" t="str">
        <f aca="false">CONCATENATE(A86,".",B86)</f>
        <v>.</v>
      </c>
      <c r="D86" s="180"/>
      <c r="E86" s="124"/>
      <c r="F86" s="119"/>
      <c r="G86" s="120"/>
      <c r="H86" s="120"/>
      <c r="I86" s="121"/>
      <c r="J86" s="124"/>
      <c r="K86" s="124"/>
      <c r="L86" s="124"/>
      <c r="M86" s="124"/>
      <c r="N86" s="123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customFormat="false" ht="27.75" hidden="false" customHeight="true" outlineLevel="0" collapsed="false">
      <c r="A87" s="106"/>
      <c r="B87" s="127"/>
      <c r="C87" s="137" t="str">
        <f aca="false">CONCATENATE(A87,".",B87)</f>
        <v>.</v>
      </c>
      <c r="D87" s="180"/>
      <c r="E87" s="124"/>
      <c r="F87" s="119"/>
      <c r="G87" s="120"/>
      <c r="H87" s="120"/>
      <c r="I87" s="121"/>
      <c r="J87" s="124"/>
      <c r="K87" s="124"/>
      <c r="L87" s="124"/>
      <c r="M87" s="124"/>
      <c r="N87" s="123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customFormat="false" ht="27.75" hidden="false" customHeight="true" outlineLevel="0" collapsed="false">
      <c r="A88" s="106"/>
      <c r="B88" s="127"/>
      <c r="C88" s="137" t="str">
        <f aca="false">CONCATENATE(A88,".",B88)</f>
        <v>.</v>
      </c>
      <c r="D88" s="180"/>
      <c r="E88" s="124"/>
      <c r="F88" s="119"/>
      <c r="G88" s="120"/>
      <c r="H88" s="120"/>
      <c r="I88" s="121"/>
      <c r="J88" s="124"/>
      <c r="K88" s="124"/>
      <c r="L88" s="124"/>
      <c r="M88" s="124"/>
      <c r="N88" s="123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customFormat="false" ht="27.75" hidden="false" customHeight="true" outlineLevel="0" collapsed="false">
      <c r="A89" s="106"/>
      <c r="B89" s="127"/>
      <c r="C89" s="137" t="str">
        <f aca="false">CONCATENATE(A89,".",B89)</f>
        <v>.</v>
      </c>
      <c r="D89" s="180"/>
      <c r="E89" s="124"/>
      <c r="F89" s="119"/>
      <c r="G89" s="120"/>
      <c r="H89" s="120"/>
      <c r="I89" s="121"/>
      <c r="J89" s="124"/>
      <c r="K89" s="124"/>
      <c r="L89" s="124"/>
      <c r="M89" s="124"/>
      <c r="N89" s="123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customFormat="false" ht="27.75" hidden="false" customHeight="true" outlineLevel="0" collapsed="false">
      <c r="A90" s="106"/>
      <c r="B90" s="127"/>
      <c r="C90" s="137" t="str">
        <f aca="false">CONCATENATE(A90,".",B90)</f>
        <v>.</v>
      </c>
      <c r="D90" s="180"/>
      <c r="E90" s="124"/>
      <c r="F90" s="119"/>
      <c r="G90" s="120"/>
      <c r="H90" s="120"/>
      <c r="I90" s="121"/>
      <c r="J90" s="124"/>
      <c r="K90" s="124"/>
      <c r="L90" s="124"/>
      <c r="M90" s="124"/>
      <c r="N90" s="123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</row>
    <row r="91" customFormat="false" ht="27.75" hidden="false" customHeight="true" outlineLevel="0" collapsed="false">
      <c r="A91" s="106"/>
      <c r="B91" s="127"/>
      <c r="C91" s="137" t="str">
        <f aca="false">CONCATENATE(A91,".",B91)</f>
        <v>.</v>
      </c>
      <c r="D91" s="180"/>
      <c r="E91" s="124"/>
      <c r="F91" s="119"/>
      <c r="G91" s="120"/>
      <c r="H91" s="120"/>
      <c r="I91" s="121"/>
      <c r="J91" s="124"/>
      <c r="K91" s="124"/>
      <c r="L91" s="124"/>
      <c r="M91" s="124"/>
      <c r="N91" s="123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</row>
    <row r="92" customFormat="false" ht="27.75" hidden="false" customHeight="true" outlineLevel="0" collapsed="false">
      <c r="A92" s="106"/>
      <c r="B92" s="127"/>
      <c r="C92" s="137" t="str">
        <f aca="false">CONCATENATE(A92,".",B92)</f>
        <v>.</v>
      </c>
      <c r="D92" s="180"/>
      <c r="E92" s="124"/>
      <c r="F92" s="119"/>
      <c r="G92" s="120"/>
      <c r="H92" s="120"/>
      <c r="I92" s="121"/>
      <c r="J92" s="124"/>
      <c r="K92" s="124"/>
      <c r="L92" s="124"/>
      <c r="M92" s="124"/>
      <c r="N92" s="123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</row>
    <row r="93" customFormat="false" ht="27.75" hidden="false" customHeight="true" outlineLevel="0" collapsed="false">
      <c r="A93" s="106"/>
      <c r="B93" s="127"/>
      <c r="C93" s="137" t="str">
        <f aca="false">CONCATENATE(A93,".",B93)</f>
        <v>.</v>
      </c>
      <c r="D93" s="180"/>
      <c r="E93" s="124"/>
      <c r="F93" s="119"/>
      <c r="G93" s="120"/>
      <c r="H93" s="120"/>
      <c r="I93" s="121"/>
      <c r="J93" s="124"/>
      <c r="K93" s="124"/>
      <c r="L93" s="124"/>
      <c r="M93" s="124"/>
      <c r="N93" s="123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</row>
    <row r="94" customFormat="false" ht="27.75" hidden="false" customHeight="true" outlineLevel="0" collapsed="false">
      <c r="A94" s="106"/>
      <c r="B94" s="127"/>
      <c r="C94" s="137" t="str">
        <f aca="false">CONCATENATE(A94,".",B94)</f>
        <v>.</v>
      </c>
      <c r="D94" s="180"/>
      <c r="E94" s="124"/>
      <c r="F94" s="119"/>
      <c r="G94" s="120"/>
      <c r="H94" s="120"/>
      <c r="I94" s="121"/>
      <c r="J94" s="124"/>
      <c r="K94" s="124"/>
      <c r="L94" s="124"/>
      <c r="M94" s="124"/>
      <c r="N94" s="123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</row>
    <row r="95" customFormat="false" ht="27.75" hidden="false" customHeight="true" outlineLevel="0" collapsed="false">
      <c r="A95" s="106"/>
      <c r="B95" s="127"/>
      <c r="C95" s="137" t="str">
        <f aca="false">CONCATENATE(A95,".",B95)</f>
        <v>.</v>
      </c>
      <c r="D95" s="180"/>
      <c r="E95" s="124"/>
      <c r="F95" s="119"/>
      <c r="G95" s="120"/>
      <c r="H95" s="120"/>
      <c r="I95" s="121"/>
      <c r="J95" s="124"/>
      <c r="K95" s="124"/>
      <c r="L95" s="124"/>
      <c r="M95" s="124"/>
      <c r="N95" s="123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</row>
    <row r="96" customFormat="false" ht="27.75" hidden="false" customHeight="true" outlineLevel="0" collapsed="false">
      <c r="A96" s="106"/>
      <c r="B96" s="127"/>
      <c r="C96" s="137" t="str">
        <f aca="false">CONCATENATE(A96,".",B96)</f>
        <v>.</v>
      </c>
      <c r="D96" s="180"/>
      <c r="E96" s="124"/>
      <c r="F96" s="119"/>
      <c r="G96" s="120"/>
      <c r="H96" s="120"/>
      <c r="I96" s="121"/>
      <c r="J96" s="124"/>
      <c r="K96" s="124"/>
      <c r="L96" s="124"/>
      <c r="M96" s="124"/>
      <c r="N96" s="123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customFormat="false" ht="27.75" hidden="false" customHeight="true" outlineLevel="0" collapsed="false">
      <c r="A97" s="106"/>
      <c r="B97" s="127"/>
      <c r="C97" s="137" t="str">
        <f aca="false">CONCATENATE(A97,".",B97)</f>
        <v>.</v>
      </c>
      <c r="D97" s="180"/>
      <c r="E97" s="124"/>
      <c r="F97" s="119"/>
      <c r="G97" s="120"/>
      <c r="H97" s="120"/>
      <c r="I97" s="121"/>
      <c r="J97" s="124"/>
      <c r="K97" s="124"/>
      <c r="L97" s="124"/>
      <c r="M97" s="124"/>
      <c r="N97" s="123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</row>
    <row r="98" customFormat="false" ht="27.75" hidden="false" customHeight="true" outlineLevel="0" collapsed="false">
      <c r="A98" s="106"/>
      <c r="B98" s="127"/>
      <c r="C98" s="137" t="str">
        <f aca="false">CONCATENATE(A98,".",B98)</f>
        <v>.</v>
      </c>
      <c r="D98" s="180"/>
      <c r="E98" s="124"/>
      <c r="F98" s="119"/>
      <c r="G98" s="120"/>
      <c r="H98" s="120"/>
      <c r="I98" s="121"/>
      <c r="J98" s="124"/>
      <c r="K98" s="124"/>
      <c r="L98" s="124"/>
      <c r="M98" s="124"/>
      <c r="N98" s="123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</row>
    <row r="99" customFormat="false" ht="27.75" hidden="false" customHeight="true" outlineLevel="0" collapsed="false">
      <c r="A99" s="106"/>
      <c r="B99" s="127"/>
      <c r="C99" s="137" t="str">
        <f aca="false">CONCATENATE(A99,".",B99)</f>
        <v>.</v>
      </c>
      <c r="D99" s="180"/>
      <c r="E99" s="124"/>
      <c r="F99" s="119"/>
      <c r="G99" s="120"/>
      <c r="H99" s="120"/>
      <c r="I99" s="121"/>
      <c r="J99" s="124"/>
      <c r="K99" s="124"/>
      <c r="L99" s="124"/>
      <c r="M99" s="124"/>
      <c r="N99" s="123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</row>
    <row r="100" customFormat="false" ht="27.75" hidden="false" customHeight="true" outlineLevel="0" collapsed="false">
      <c r="A100" s="106"/>
      <c r="B100" s="127"/>
      <c r="C100" s="137" t="str">
        <f aca="false">CONCATENATE(A100,".",B100)</f>
        <v>.</v>
      </c>
      <c r="D100" s="180"/>
      <c r="E100" s="124"/>
      <c r="F100" s="119"/>
      <c r="G100" s="120"/>
      <c r="H100" s="120"/>
      <c r="I100" s="121"/>
      <c r="J100" s="124"/>
      <c r="K100" s="124"/>
      <c r="L100" s="124"/>
      <c r="M100" s="124"/>
      <c r="N100" s="123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</row>
    <row r="101" customFormat="false" ht="27.75" hidden="false" customHeight="true" outlineLevel="0" collapsed="false">
      <c r="A101" s="106"/>
      <c r="B101" s="127"/>
      <c r="C101" s="137" t="str">
        <f aca="false">CONCATENATE(A101,".",B101)</f>
        <v>.</v>
      </c>
      <c r="D101" s="180"/>
      <c r="E101" s="124"/>
      <c r="F101" s="119"/>
      <c r="G101" s="120"/>
      <c r="H101" s="120"/>
      <c r="I101" s="121"/>
      <c r="J101" s="124"/>
      <c r="K101" s="124"/>
      <c r="L101" s="124"/>
      <c r="M101" s="124"/>
      <c r="N101" s="123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</row>
    <row r="102" customFormat="false" ht="27.75" hidden="false" customHeight="true" outlineLevel="0" collapsed="false">
      <c r="A102" s="106"/>
      <c r="B102" s="127"/>
      <c r="C102" s="137" t="str">
        <f aca="false">CONCATENATE(A102,".",B102)</f>
        <v>.</v>
      </c>
      <c r="D102" s="180"/>
      <c r="E102" s="124"/>
      <c r="F102" s="119"/>
      <c r="G102" s="120"/>
      <c r="H102" s="120"/>
      <c r="I102" s="121"/>
      <c r="J102" s="124"/>
      <c r="K102" s="124"/>
      <c r="L102" s="124"/>
      <c r="M102" s="124"/>
      <c r="N102" s="123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</row>
    <row r="103" customFormat="false" ht="27.75" hidden="false" customHeight="true" outlineLevel="0" collapsed="false">
      <c r="A103" s="106"/>
      <c r="B103" s="127"/>
      <c r="C103" s="137" t="str">
        <f aca="false">CONCATENATE(A103,".",B103)</f>
        <v>.</v>
      </c>
      <c r="D103" s="180"/>
      <c r="E103" s="124"/>
      <c r="F103" s="119"/>
      <c r="G103" s="120"/>
      <c r="H103" s="120"/>
      <c r="I103" s="121"/>
      <c r="J103" s="124"/>
      <c r="K103" s="124"/>
      <c r="L103" s="124"/>
      <c r="M103" s="124"/>
      <c r="N103" s="123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</row>
    <row r="104" customFormat="false" ht="27.75" hidden="false" customHeight="true" outlineLevel="0" collapsed="false">
      <c r="A104" s="106"/>
      <c r="B104" s="127"/>
      <c r="C104" s="137" t="str">
        <f aca="false">CONCATENATE(A104,".",B104)</f>
        <v>.</v>
      </c>
      <c r="D104" s="180"/>
      <c r="E104" s="124"/>
      <c r="F104" s="119"/>
      <c r="G104" s="120"/>
      <c r="H104" s="120"/>
      <c r="I104" s="121"/>
      <c r="J104" s="124"/>
      <c r="K104" s="124"/>
      <c r="L104" s="124"/>
      <c r="M104" s="124"/>
      <c r="N104" s="123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</row>
    <row r="105" customFormat="false" ht="27.75" hidden="false" customHeight="true" outlineLevel="0" collapsed="false">
      <c r="A105" s="138"/>
      <c r="B105" s="139"/>
      <c r="C105" s="140" t="str">
        <f aca="false">CONCATENATE(A105,".",B105)</f>
        <v>.</v>
      </c>
      <c r="D105" s="181"/>
      <c r="E105" s="145"/>
      <c r="F105" s="142"/>
      <c r="G105" s="143"/>
      <c r="H105" s="143"/>
      <c r="I105" s="144"/>
      <c r="J105" s="145"/>
      <c r="K105" s="145"/>
      <c r="L105" s="145"/>
      <c r="M105" s="145"/>
      <c r="N105" s="14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</row>
    <row r="106" customFormat="false" ht="11.25" hidden="false" customHeight="true" outlineLevel="0" collapsed="false">
      <c r="A106" s="147"/>
      <c r="B106" s="147"/>
      <c r="C106" s="147"/>
      <c r="D106" s="182"/>
      <c r="E106" s="149"/>
      <c r="F106" s="148"/>
      <c r="G106" s="148"/>
      <c r="H106" s="148"/>
      <c r="I106" s="148"/>
      <c r="J106" s="149"/>
      <c r="K106" s="149"/>
      <c r="L106" s="149"/>
      <c r="M106" s="149"/>
      <c r="N106" s="90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</row>
    <row r="107" customFormat="false" ht="11.25" hidden="false" customHeight="true" outlineLevel="0" collapsed="false">
      <c r="A107" s="147"/>
      <c r="B107" s="147"/>
      <c r="C107" s="147"/>
      <c r="D107" s="182"/>
      <c r="E107" s="149"/>
      <c r="F107" s="148"/>
      <c r="G107" s="148"/>
      <c r="H107" s="148"/>
      <c r="I107" s="148"/>
      <c r="J107" s="149"/>
      <c r="K107" s="149"/>
      <c r="L107" s="149"/>
      <c r="M107" s="149"/>
      <c r="N107" s="90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</row>
    <row r="108" customFormat="false" ht="11.25" hidden="false" customHeight="true" outlineLevel="0" collapsed="false">
      <c r="A108" s="147"/>
      <c r="B108" s="147"/>
      <c r="C108" s="147"/>
      <c r="D108" s="182"/>
      <c r="E108" s="149"/>
      <c r="F108" s="148"/>
      <c r="G108" s="148"/>
      <c r="H108" s="148"/>
      <c r="I108" s="148"/>
      <c r="J108" s="149"/>
      <c r="K108" s="149"/>
      <c r="L108" s="149"/>
      <c r="M108" s="149"/>
      <c r="N108" s="90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</row>
    <row r="109" customFormat="false" ht="11.25" hidden="false" customHeight="true" outlineLevel="0" collapsed="false">
      <c r="A109" s="147"/>
      <c r="B109" s="147"/>
      <c r="C109" s="147"/>
      <c r="D109" s="182"/>
      <c r="E109" s="149"/>
      <c r="F109" s="148"/>
      <c r="G109" s="148"/>
      <c r="H109" s="148"/>
      <c r="I109" s="148"/>
      <c r="J109" s="149"/>
      <c r="K109" s="149"/>
      <c r="L109" s="149"/>
      <c r="M109" s="149"/>
      <c r="N109" s="90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</row>
    <row r="110" customFormat="false" ht="11.25" hidden="false" customHeight="true" outlineLevel="0" collapsed="false">
      <c r="A110" s="147"/>
      <c r="B110" s="147"/>
      <c r="C110" s="147"/>
      <c r="D110" s="182"/>
      <c r="E110" s="149"/>
      <c r="F110" s="148"/>
      <c r="G110" s="148"/>
      <c r="H110" s="148"/>
      <c r="I110" s="148"/>
      <c r="J110" s="149"/>
      <c r="K110" s="149"/>
      <c r="L110" s="149"/>
      <c r="M110" s="149"/>
      <c r="N110" s="90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</row>
    <row r="111" customFormat="false" ht="11.25" hidden="false" customHeight="true" outlineLevel="0" collapsed="false">
      <c r="A111" s="147"/>
      <c r="B111" s="147"/>
      <c r="C111" s="147"/>
      <c r="D111" s="182"/>
      <c r="E111" s="149"/>
      <c r="F111" s="148"/>
      <c r="G111" s="148"/>
      <c r="H111" s="148"/>
      <c r="I111" s="148"/>
      <c r="J111" s="149"/>
      <c r="K111" s="149"/>
      <c r="L111" s="149"/>
      <c r="M111" s="149"/>
      <c r="N111" s="90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</row>
    <row r="112" customFormat="false" ht="11.25" hidden="false" customHeight="true" outlineLevel="0" collapsed="false">
      <c r="A112" s="147"/>
      <c r="B112" s="147"/>
      <c r="C112" s="147"/>
      <c r="D112" s="182"/>
      <c r="E112" s="149"/>
      <c r="F112" s="148"/>
      <c r="G112" s="148"/>
      <c r="H112" s="148"/>
      <c r="I112" s="148"/>
      <c r="J112" s="149"/>
      <c r="K112" s="149"/>
      <c r="L112" s="149"/>
      <c r="M112" s="149"/>
      <c r="N112" s="90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</row>
    <row r="113" customFormat="false" ht="11.25" hidden="false" customHeight="true" outlineLevel="0" collapsed="false">
      <c r="A113" s="147"/>
      <c r="B113" s="147"/>
      <c r="C113" s="147"/>
      <c r="D113" s="182"/>
      <c r="E113" s="149"/>
      <c r="F113" s="148"/>
      <c r="G113" s="148"/>
      <c r="H113" s="148"/>
      <c r="I113" s="148"/>
      <c r="J113" s="149"/>
      <c r="K113" s="149"/>
      <c r="L113" s="149"/>
      <c r="M113" s="149"/>
      <c r="N113" s="90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</row>
    <row r="114" customFormat="false" ht="11.25" hidden="false" customHeight="true" outlineLevel="0" collapsed="false">
      <c r="A114" s="147"/>
      <c r="B114" s="147"/>
      <c r="C114" s="147"/>
      <c r="D114" s="182"/>
      <c r="E114" s="149"/>
      <c r="F114" s="148"/>
      <c r="G114" s="148"/>
      <c r="H114" s="148"/>
      <c r="I114" s="148"/>
      <c r="J114" s="149"/>
      <c r="K114" s="149"/>
      <c r="L114" s="149"/>
      <c r="M114" s="149"/>
      <c r="N114" s="90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</row>
    <row r="115" customFormat="false" ht="11.25" hidden="false" customHeight="true" outlineLevel="0" collapsed="false">
      <c r="A115" s="147"/>
      <c r="B115" s="147"/>
      <c r="C115" s="147"/>
      <c r="D115" s="182"/>
      <c r="E115" s="149"/>
      <c r="F115" s="148"/>
      <c r="G115" s="148"/>
      <c r="H115" s="148"/>
      <c r="I115" s="148"/>
      <c r="J115" s="149"/>
      <c r="K115" s="149"/>
      <c r="L115" s="149"/>
      <c r="M115" s="149"/>
      <c r="N115" s="90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</row>
    <row r="116" customFormat="false" ht="11.25" hidden="false" customHeight="true" outlineLevel="0" collapsed="false">
      <c r="A116" s="147"/>
      <c r="B116" s="147"/>
      <c r="C116" s="147"/>
      <c r="D116" s="182"/>
      <c r="E116" s="149"/>
      <c r="F116" s="148"/>
      <c r="G116" s="148"/>
      <c r="H116" s="148"/>
      <c r="I116" s="148"/>
      <c r="J116" s="149"/>
      <c r="K116" s="149"/>
      <c r="L116" s="149"/>
      <c r="M116" s="149"/>
      <c r="N116" s="90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</row>
    <row r="117" customFormat="false" ht="11.25" hidden="false" customHeight="true" outlineLevel="0" collapsed="false">
      <c r="A117" s="147"/>
      <c r="B117" s="147"/>
      <c r="C117" s="147"/>
      <c r="D117" s="182"/>
      <c r="E117" s="149"/>
      <c r="F117" s="148"/>
      <c r="G117" s="148"/>
      <c r="H117" s="148"/>
      <c r="I117" s="148"/>
      <c r="J117" s="149"/>
      <c r="K117" s="149"/>
      <c r="L117" s="149"/>
      <c r="M117" s="149"/>
      <c r="N117" s="90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</row>
    <row r="118" customFormat="false" ht="11.25" hidden="false" customHeight="true" outlineLevel="0" collapsed="false">
      <c r="A118" s="147"/>
      <c r="B118" s="147"/>
      <c r="C118" s="147"/>
      <c r="D118" s="182"/>
      <c r="E118" s="149"/>
      <c r="F118" s="148"/>
      <c r="G118" s="148"/>
      <c r="H118" s="148"/>
      <c r="I118" s="148"/>
      <c r="J118" s="149"/>
      <c r="K118" s="149"/>
      <c r="L118" s="149"/>
      <c r="M118" s="149"/>
      <c r="N118" s="90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</row>
    <row r="119" customFormat="false" ht="11.25" hidden="false" customHeight="true" outlineLevel="0" collapsed="false">
      <c r="A119" s="147"/>
      <c r="B119" s="147"/>
      <c r="C119" s="147"/>
      <c r="D119" s="182"/>
      <c r="E119" s="149"/>
      <c r="F119" s="148"/>
      <c r="G119" s="148"/>
      <c r="H119" s="148"/>
      <c r="I119" s="148"/>
      <c r="J119" s="149"/>
      <c r="K119" s="149"/>
      <c r="L119" s="149"/>
      <c r="M119" s="149"/>
      <c r="N119" s="90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</row>
    <row r="120" customFormat="false" ht="11.25" hidden="false" customHeight="true" outlineLevel="0" collapsed="false">
      <c r="A120" s="147"/>
      <c r="B120" s="147"/>
      <c r="C120" s="147"/>
      <c r="D120" s="182"/>
      <c r="E120" s="149"/>
      <c r="F120" s="148"/>
      <c r="G120" s="148"/>
      <c r="H120" s="148"/>
      <c r="I120" s="148"/>
      <c r="J120" s="149"/>
      <c r="K120" s="149"/>
      <c r="L120" s="149"/>
      <c r="M120" s="149"/>
      <c r="N120" s="90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</row>
    <row r="121" customFormat="false" ht="11.25" hidden="false" customHeight="true" outlineLevel="0" collapsed="false">
      <c r="A121" s="147"/>
      <c r="B121" s="147"/>
      <c r="C121" s="147"/>
      <c r="D121" s="182"/>
      <c r="E121" s="149"/>
      <c r="F121" s="148"/>
      <c r="G121" s="148"/>
      <c r="H121" s="148"/>
      <c r="I121" s="148"/>
      <c r="J121" s="149"/>
      <c r="K121" s="149"/>
      <c r="L121" s="149"/>
      <c r="M121" s="149"/>
      <c r="N121" s="90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</row>
    <row r="122" customFormat="false" ht="11.25" hidden="false" customHeight="true" outlineLevel="0" collapsed="false">
      <c r="A122" s="147"/>
      <c r="B122" s="147"/>
      <c r="C122" s="147"/>
      <c r="D122" s="182"/>
      <c r="E122" s="149"/>
      <c r="F122" s="148"/>
      <c r="G122" s="148"/>
      <c r="H122" s="148"/>
      <c r="I122" s="148"/>
      <c r="J122" s="149"/>
      <c r="K122" s="149"/>
      <c r="L122" s="149"/>
      <c r="M122" s="149"/>
      <c r="N122" s="90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</row>
    <row r="123" customFormat="false" ht="11.25" hidden="false" customHeight="true" outlineLevel="0" collapsed="false">
      <c r="A123" s="147"/>
      <c r="B123" s="147"/>
      <c r="C123" s="147"/>
      <c r="D123" s="182"/>
      <c r="E123" s="149"/>
      <c r="F123" s="148"/>
      <c r="G123" s="148"/>
      <c r="H123" s="148"/>
      <c r="I123" s="148"/>
      <c r="J123" s="149"/>
      <c r="K123" s="149"/>
      <c r="L123" s="149"/>
      <c r="M123" s="149"/>
      <c r="N123" s="90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</row>
    <row r="124" customFormat="false" ht="11.25" hidden="false" customHeight="true" outlineLevel="0" collapsed="false">
      <c r="A124" s="147"/>
      <c r="B124" s="147"/>
      <c r="C124" s="147"/>
      <c r="D124" s="182"/>
      <c r="E124" s="149"/>
      <c r="F124" s="148"/>
      <c r="G124" s="148"/>
      <c r="H124" s="148"/>
      <c r="I124" s="148"/>
      <c r="J124" s="149"/>
      <c r="K124" s="149"/>
      <c r="L124" s="149"/>
      <c r="M124" s="149"/>
      <c r="N124" s="90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</row>
    <row r="125" customFormat="false" ht="11.25" hidden="false" customHeight="true" outlineLevel="0" collapsed="false">
      <c r="A125" s="147"/>
      <c r="B125" s="147"/>
      <c r="C125" s="147"/>
      <c r="D125" s="182"/>
      <c r="E125" s="149"/>
      <c r="F125" s="148"/>
      <c r="G125" s="148"/>
      <c r="H125" s="148"/>
      <c r="I125" s="148"/>
      <c r="J125" s="149"/>
      <c r="K125" s="149"/>
      <c r="L125" s="149"/>
      <c r="M125" s="149"/>
      <c r="N125" s="90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</row>
    <row r="126" customFormat="false" ht="11.25" hidden="false" customHeight="true" outlineLevel="0" collapsed="false">
      <c r="A126" s="147"/>
      <c r="B126" s="147"/>
      <c r="C126" s="147"/>
      <c r="D126" s="182"/>
      <c r="E126" s="149"/>
      <c r="F126" s="148"/>
      <c r="G126" s="148"/>
      <c r="H126" s="148"/>
      <c r="I126" s="148"/>
      <c r="J126" s="149"/>
      <c r="K126" s="149"/>
      <c r="L126" s="149"/>
      <c r="M126" s="149"/>
      <c r="N126" s="90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</row>
    <row r="127" customFormat="false" ht="11.25" hidden="false" customHeight="true" outlineLevel="0" collapsed="false">
      <c r="A127" s="147"/>
      <c r="B127" s="147"/>
      <c r="C127" s="147"/>
      <c r="D127" s="182"/>
      <c r="E127" s="149"/>
      <c r="F127" s="148"/>
      <c r="G127" s="148"/>
      <c r="H127" s="148"/>
      <c r="I127" s="148"/>
      <c r="J127" s="149"/>
      <c r="K127" s="149"/>
      <c r="L127" s="149"/>
      <c r="M127" s="149"/>
      <c r="N127" s="90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</row>
    <row r="128" customFormat="false" ht="11.25" hidden="false" customHeight="true" outlineLevel="0" collapsed="false">
      <c r="A128" s="147"/>
      <c r="B128" s="147"/>
      <c r="C128" s="147"/>
      <c r="D128" s="182"/>
      <c r="E128" s="149"/>
      <c r="F128" s="148"/>
      <c r="G128" s="148"/>
      <c r="H128" s="148"/>
      <c r="I128" s="148"/>
      <c r="J128" s="149"/>
      <c r="K128" s="149"/>
      <c r="L128" s="149"/>
      <c r="M128" s="149"/>
      <c r="N128" s="90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</row>
    <row r="129" customFormat="false" ht="11.25" hidden="false" customHeight="true" outlineLevel="0" collapsed="false">
      <c r="A129" s="147"/>
      <c r="B129" s="147"/>
      <c r="C129" s="147"/>
      <c r="D129" s="182"/>
      <c r="E129" s="149"/>
      <c r="F129" s="148"/>
      <c r="G129" s="148"/>
      <c r="H129" s="148"/>
      <c r="I129" s="148"/>
      <c r="J129" s="149"/>
      <c r="K129" s="149"/>
      <c r="L129" s="149"/>
      <c r="M129" s="149"/>
      <c r="N129" s="90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</row>
    <row r="130" customFormat="false" ht="11.25" hidden="false" customHeight="true" outlineLevel="0" collapsed="false">
      <c r="A130" s="147"/>
      <c r="B130" s="147"/>
      <c r="C130" s="147"/>
      <c r="D130" s="182"/>
      <c r="E130" s="149"/>
      <c r="F130" s="148"/>
      <c r="G130" s="148"/>
      <c r="H130" s="148"/>
      <c r="I130" s="148"/>
      <c r="J130" s="149"/>
      <c r="K130" s="149"/>
      <c r="L130" s="149"/>
      <c r="M130" s="149"/>
      <c r="N130" s="90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</row>
    <row r="131" customFormat="false" ht="11.25" hidden="false" customHeight="true" outlineLevel="0" collapsed="false">
      <c r="A131" s="147"/>
      <c r="B131" s="147"/>
      <c r="C131" s="147"/>
      <c r="D131" s="182"/>
      <c r="E131" s="149"/>
      <c r="F131" s="148"/>
      <c r="G131" s="148"/>
      <c r="H131" s="148"/>
      <c r="I131" s="148"/>
      <c r="J131" s="149"/>
      <c r="K131" s="149"/>
      <c r="L131" s="149"/>
      <c r="M131" s="149"/>
      <c r="N131" s="90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</row>
    <row r="132" customFormat="false" ht="11.25" hidden="false" customHeight="true" outlineLevel="0" collapsed="false">
      <c r="A132" s="147"/>
      <c r="B132" s="147"/>
      <c r="C132" s="147"/>
      <c r="D132" s="182"/>
      <c r="E132" s="149"/>
      <c r="F132" s="148"/>
      <c r="G132" s="148"/>
      <c r="H132" s="148"/>
      <c r="I132" s="148"/>
      <c r="J132" s="149"/>
      <c r="K132" s="149"/>
      <c r="L132" s="149"/>
      <c r="M132" s="149"/>
      <c r="N132" s="90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</row>
    <row r="133" customFormat="false" ht="11.25" hidden="false" customHeight="true" outlineLevel="0" collapsed="false">
      <c r="A133" s="147"/>
      <c r="B133" s="147"/>
      <c r="C133" s="147"/>
      <c r="D133" s="182"/>
      <c r="E133" s="149"/>
      <c r="F133" s="148"/>
      <c r="G133" s="148"/>
      <c r="H133" s="148"/>
      <c r="I133" s="148"/>
      <c r="J133" s="149"/>
      <c r="K133" s="149"/>
      <c r="L133" s="149"/>
      <c r="M133" s="149"/>
      <c r="N133" s="90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</row>
    <row r="134" customFormat="false" ht="11.25" hidden="false" customHeight="true" outlineLevel="0" collapsed="false">
      <c r="A134" s="147"/>
      <c r="B134" s="147"/>
      <c r="C134" s="147"/>
      <c r="D134" s="182"/>
      <c r="E134" s="149"/>
      <c r="F134" s="148"/>
      <c r="G134" s="148"/>
      <c r="H134" s="148"/>
      <c r="I134" s="148"/>
      <c r="J134" s="149"/>
      <c r="K134" s="149"/>
      <c r="L134" s="149"/>
      <c r="M134" s="149"/>
      <c r="N134" s="90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</row>
    <row r="135" customFormat="false" ht="11.25" hidden="false" customHeight="true" outlineLevel="0" collapsed="false">
      <c r="A135" s="147"/>
      <c r="B135" s="147"/>
      <c r="C135" s="147"/>
      <c r="D135" s="182"/>
      <c r="E135" s="149"/>
      <c r="F135" s="148"/>
      <c r="G135" s="148"/>
      <c r="H135" s="148"/>
      <c r="I135" s="148"/>
      <c r="J135" s="149"/>
      <c r="K135" s="149"/>
      <c r="L135" s="149"/>
      <c r="M135" s="149"/>
      <c r="N135" s="90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</row>
    <row r="136" customFormat="false" ht="11.25" hidden="false" customHeight="true" outlineLevel="0" collapsed="false">
      <c r="A136" s="147"/>
      <c r="B136" s="147"/>
      <c r="C136" s="147"/>
      <c r="D136" s="182"/>
      <c r="E136" s="149"/>
      <c r="F136" s="148"/>
      <c r="G136" s="148"/>
      <c r="H136" s="148"/>
      <c r="I136" s="148"/>
      <c r="J136" s="149"/>
      <c r="K136" s="149"/>
      <c r="L136" s="149"/>
      <c r="M136" s="149"/>
      <c r="N136" s="90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</row>
    <row r="137" customFormat="false" ht="11.25" hidden="false" customHeight="true" outlineLevel="0" collapsed="false">
      <c r="A137" s="147"/>
      <c r="B137" s="147"/>
      <c r="C137" s="147"/>
      <c r="D137" s="182"/>
      <c r="E137" s="149"/>
      <c r="F137" s="148"/>
      <c r="G137" s="148"/>
      <c r="H137" s="148"/>
      <c r="I137" s="148"/>
      <c r="J137" s="149"/>
      <c r="K137" s="149"/>
      <c r="L137" s="149"/>
      <c r="M137" s="149"/>
      <c r="N137" s="90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</row>
    <row r="138" customFormat="false" ht="11.25" hidden="false" customHeight="true" outlineLevel="0" collapsed="false">
      <c r="A138" s="147"/>
      <c r="B138" s="147"/>
      <c r="C138" s="147"/>
      <c r="D138" s="182"/>
      <c r="E138" s="149"/>
      <c r="F138" s="148"/>
      <c r="G138" s="148"/>
      <c r="H138" s="148"/>
      <c r="I138" s="148"/>
      <c r="J138" s="149"/>
      <c r="K138" s="149"/>
      <c r="L138" s="149"/>
      <c r="M138" s="149"/>
      <c r="N138" s="90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</row>
    <row r="139" customFormat="false" ht="11.25" hidden="false" customHeight="true" outlineLevel="0" collapsed="false">
      <c r="A139" s="147"/>
      <c r="B139" s="147"/>
      <c r="C139" s="147"/>
      <c r="D139" s="182"/>
      <c r="E139" s="149"/>
      <c r="F139" s="148"/>
      <c r="G139" s="148"/>
      <c r="H139" s="148"/>
      <c r="I139" s="148"/>
      <c r="J139" s="149"/>
      <c r="K139" s="149"/>
      <c r="L139" s="149"/>
      <c r="M139" s="149"/>
      <c r="N139" s="90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</row>
    <row r="140" customFormat="false" ht="11.25" hidden="false" customHeight="true" outlineLevel="0" collapsed="false">
      <c r="A140" s="147"/>
      <c r="B140" s="147"/>
      <c r="C140" s="147"/>
      <c r="D140" s="182"/>
      <c r="E140" s="149"/>
      <c r="F140" s="148"/>
      <c r="G140" s="148"/>
      <c r="H140" s="148"/>
      <c r="I140" s="148"/>
      <c r="J140" s="149"/>
      <c r="K140" s="149"/>
      <c r="L140" s="149"/>
      <c r="M140" s="149"/>
      <c r="N140" s="90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</row>
    <row r="141" customFormat="false" ht="11.25" hidden="false" customHeight="true" outlineLevel="0" collapsed="false">
      <c r="A141" s="147"/>
      <c r="B141" s="147"/>
      <c r="C141" s="147"/>
      <c r="D141" s="182"/>
      <c r="E141" s="149"/>
      <c r="F141" s="148"/>
      <c r="G141" s="148"/>
      <c r="H141" s="148"/>
      <c r="I141" s="148"/>
      <c r="J141" s="149"/>
      <c r="K141" s="149"/>
      <c r="L141" s="149"/>
      <c r="M141" s="149"/>
      <c r="N141" s="90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</row>
    <row r="142" customFormat="false" ht="11.25" hidden="false" customHeight="true" outlineLevel="0" collapsed="false">
      <c r="A142" s="147"/>
      <c r="B142" s="147"/>
      <c r="C142" s="147"/>
      <c r="D142" s="182"/>
      <c r="E142" s="149"/>
      <c r="F142" s="148"/>
      <c r="G142" s="148"/>
      <c r="H142" s="148"/>
      <c r="I142" s="148"/>
      <c r="J142" s="149"/>
      <c r="K142" s="149"/>
      <c r="L142" s="149"/>
      <c r="M142" s="149"/>
      <c r="N142" s="90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</row>
    <row r="143" customFormat="false" ht="11.25" hidden="false" customHeight="true" outlineLevel="0" collapsed="false">
      <c r="A143" s="147"/>
      <c r="B143" s="147"/>
      <c r="C143" s="147"/>
      <c r="D143" s="182"/>
      <c r="E143" s="149"/>
      <c r="F143" s="148"/>
      <c r="G143" s="148"/>
      <c r="H143" s="148"/>
      <c r="I143" s="148"/>
      <c r="J143" s="149"/>
      <c r="K143" s="149"/>
      <c r="L143" s="149"/>
      <c r="M143" s="149"/>
      <c r="N143" s="90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</row>
    <row r="144" customFormat="false" ht="11.25" hidden="false" customHeight="true" outlineLevel="0" collapsed="false">
      <c r="A144" s="147"/>
      <c r="B144" s="147"/>
      <c r="C144" s="147"/>
      <c r="D144" s="182"/>
      <c r="E144" s="149"/>
      <c r="F144" s="148"/>
      <c r="G144" s="148"/>
      <c r="H144" s="148"/>
      <c r="I144" s="148"/>
      <c r="J144" s="149"/>
      <c r="K144" s="149"/>
      <c r="L144" s="149"/>
      <c r="M144" s="149"/>
      <c r="N144" s="90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</row>
    <row r="145" customFormat="false" ht="11.25" hidden="false" customHeight="true" outlineLevel="0" collapsed="false">
      <c r="A145" s="147"/>
      <c r="B145" s="147"/>
      <c r="C145" s="147"/>
      <c r="D145" s="182"/>
      <c r="E145" s="149"/>
      <c r="F145" s="148"/>
      <c r="G145" s="148"/>
      <c r="H145" s="148"/>
      <c r="I145" s="148"/>
      <c r="J145" s="149"/>
      <c r="K145" s="149"/>
      <c r="L145" s="149"/>
      <c r="M145" s="149"/>
      <c r="N145" s="90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customFormat="false" ht="11.25" hidden="false" customHeight="true" outlineLevel="0" collapsed="false">
      <c r="A146" s="147"/>
      <c r="B146" s="147"/>
      <c r="C146" s="147"/>
      <c r="D146" s="182"/>
      <c r="E146" s="149"/>
      <c r="F146" s="148"/>
      <c r="G146" s="148"/>
      <c r="H146" s="148"/>
      <c r="I146" s="148"/>
      <c r="J146" s="149"/>
      <c r="K146" s="149"/>
      <c r="L146" s="149"/>
      <c r="M146" s="149"/>
      <c r="N146" s="90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customFormat="false" ht="11.25" hidden="false" customHeight="true" outlineLevel="0" collapsed="false">
      <c r="A147" s="147"/>
      <c r="B147" s="147"/>
      <c r="C147" s="147"/>
      <c r="D147" s="182"/>
      <c r="E147" s="149"/>
      <c r="F147" s="148"/>
      <c r="G147" s="148"/>
      <c r="H147" s="148"/>
      <c r="I147" s="148"/>
      <c r="J147" s="149"/>
      <c r="K147" s="149"/>
      <c r="L147" s="149"/>
      <c r="M147" s="149"/>
      <c r="N147" s="90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customFormat="false" ht="11.25" hidden="false" customHeight="true" outlineLevel="0" collapsed="false">
      <c r="A148" s="147"/>
      <c r="B148" s="147"/>
      <c r="C148" s="147"/>
      <c r="D148" s="182"/>
      <c r="E148" s="149"/>
      <c r="F148" s="148"/>
      <c r="G148" s="148"/>
      <c r="H148" s="148"/>
      <c r="I148" s="148"/>
      <c r="J148" s="149"/>
      <c r="K148" s="149"/>
      <c r="L148" s="149"/>
      <c r="M148" s="149"/>
      <c r="N148" s="90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customFormat="false" ht="11.25" hidden="false" customHeight="true" outlineLevel="0" collapsed="false">
      <c r="A149" s="147"/>
      <c r="B149" s="147"/>
      <c r="C149" s="147"/>
      <c r="D149" s="182"/>
      <c r="E149" s="149"/>
      <c r="F149" s="148"/>
      <c r="G149" s="148"/>
      <c r="H149" s="148"/>
      <c r="I149" s="148"/>
      <c r="J149" s="149"/>
      <c r="K149" s="149"/>
      <c r="L149" s="149"/>
      <c r="M149" s="149"/>
      <c r="N149" s="90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customFormat="false" ht="11.25" hidden="false" customHeight="true" outlineLevel="0" collapsed="false">
      <c r="A150" s="147"/>
      <c r="B150" s="147"/>
      <c r="C150" s="147"/>
      <c r="D150" s="182"/>
      <c r="E150" s="149"/>
      <c r="F150" s="148"/>
      <c r="G150" s="148"/>
      <c r="H150" s="148"/>
      <c r="I150" s="148"/>
      <c r="J150" s="149"/>
      <c r="K150" s="149"/>
      <c r="L150" s="149"/>
      <c r="M150" s="149"/>
      <c r="N150" s="90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customFormat="false" ht="11.25" hidden="false" customHeight="true" outlineLevel="0" collapsed="false">
      <c r="A151" s="147"/>
      <c r="B151" s="147"/>
      <c r="C151" s="147"/>
      <c r="D151" s="182"/>
      <c r="E151" s="149"/>
      <c r="F151" s="148"/>
      <c r="G151" s="148"/>
      <c r="H151" s="148"/>
      <c r="I151" s="148"/>
      <c r="J151" s="149"/>
      <c r="K151" s="149"/>
      <c r="L151" s="149"/>
      <c r="M151" s="149"/>
      <c r="N151" s="90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customFormat="false" ht="11.25" hidden="false" customHeight="true" outlineLevel="0" collapsed="false">
      <c r="A152" s="147"/>
      <c r="B152" s="147"/>
      <c r="C152" s="147"/>
      <c r="D152" s="182"/>
      <c r="E152" s="149"/>
      <c r="F152" s="148"/>
      <c r="G152" s="148"/>
      <c r="H152" s="148"/>
      <c r="I152" s="148"/>
      <c r="J152" s="149"/>
      <c r="K152" s="149"/>
      <c r="L152" s="149"/>
      <c r="M152" s="149"/>
      <c r="N152" s="90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customFormat="false" ht="11.25" hidden="false" customHeight="true" outlineLevel="0" collapsed="false">
      <c r="A153" s="147"/>
      <c r="B153" s="147"/>
      <c r="C153" s="147"/>
      <c r="D153" s="182"/>
      <c r="E153" s="149"/>
      <c r="F153" s="148"/>
      <c r="G153" s="148"/>
      <c r="H153" s="148"/>
      <c r="I153" s="148"/>
      <c r="J153" s="149"/>
      <c r="K153" s="149"/>
      <c r="L153" s="149"/>
      <c r="M153" s="149"/>
      <c r="N153" s="90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customFormat="false" ht="11.25" hidden="false" customHeight="true" outlineLevel="0" collapsed="false">
      <c r="A154" s="147"/>
      <c r="B154" s="147"/>
      <c r="C154" s="147"/>
      <c r="D154" s="182"/>
      <c r="E154" s="149"/>
      <c r="F154" s="148"/>
      <c r="G154" s="148"/>
      <c r="H154" s="148"/>
      <c r="I154" s="148"/>
      <c r="J154" s="149"/>
      <c r="K154" s="149"/>
      <c r="L154" s="149"/>
      <c r="M154" s="149"/>
      <c r="N154" s="90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customFormat="false" ht="11.25" hidden="false" customHeight="true" outlineLevel="0" collapsed="false">
      <c r="A155" s="147"/>
      <c r="B155" s="147"/>
      <c r="C155" s="147"/>
      <c r="D155" s="182"/>
      <c r="E155" s="149"/>
      <c r="F155" s="148"/>
      <c r="G155" s="148"/>
      <c r="H155" s="148"/>
      <c r="I155" s="148"/>
      <c r="J155" s="149"/>
      <c r="K155" s="149"/>
      <c r="L155" s="149"/>
      <c r="M155" s="149"/>
      <c r="N155" s="90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customFormat="false" ht="11.25" hidden="false" customHeight="true" outlineLevel="0" collapsed="false">
      <c r="A156" s="147"/>
      <c r="B156" s="147"/>
      <c r="C156" s="147"/>
      <c r="D156" s="182"/>
      <c r="E156" s="149"/>
      <c r="F156" s="148"/>
      <c r="G156" s="148"/>
      <c r="H156" s="148"/>
      <c r="I156" s="148"/>
      <c r="J156" s="149"/>
      <c r="K156" s="149"/>
      <c r="L156" s="149"/>
      <c r="M156" s="149"/>
      <c r="N156" s="90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customFormat="false" ht="11.25" hidden="false" customHeight="true" outlineLevel="0" collapsed="false">
      <c r="A157" s="89"/>
      <c r="B157" s="89"/>
      <c r="C157" s="89"/>
      <c r="D157" s="183"/>
      <c r="E157" s="152"/>
      <c r="F157" s="151"/>
      <c r="G157" s="151"/>
      <c r="H157" s="151"/>
      <c r="I157" s="151"/>
      <c r="J157" s="152"/>
      <c r="K157" s="152"/>
      <c r="L157" s="152"/>
      <c r="M157" s="152"/>
      <c r="N157" s="150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customFormat="false" ht="11.25" hidden="false" customHeight="true" outlineLevel="0" collapsed="false">
      <c r="A158" s="89"/>
      <c r="B158" s="89"/>
      <c r="C158" s="89"/>
      <c r="D158" s="183"/>
      <c r="E158" s="152"/>
      <c r="F158" s="151"/>
      <c r="G158" s="151"/>
      <c r="H158" s="151"/>
      <c r="I158" s="151"/>
      <c r="J158" s="152"/>
      <c r="K158" s="152"/>
      <c r="L158" s="152"/>
      <c r="M158" s="152"/>
      <c r="N158" s="150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customFormat="false" ht="11.25" hidden="false" customHeight="true" outlineLevel="0" collapsed="false">
      <c r="A159" s="89"/>
      <c r="B159" s="89"/>
      <c r="C159" s="89"/>
      <c r="D159" s="183"/>
      <c r="E159" s="152"/>
      <c r="F159" s="151"/>
      <c r="G159" s="151"/>
      <c r="H159" s="151"/>
      <c r="I159" s="151"/>
      <c r="J159" s="152"/>
      <c r="K159" s="152"/>
      <c r="L159" s="152"/>
      <c r="M159" s="152"/>
      <c r="N159" s="150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customFormat="false" ht="11.25" hidden="false" customHeight="true" outlineLevel="0" collapsed="false">
      <c r="A160" s="89"/>
      <c r="B160" s="89"/>
      <c r="C160" s="89"/>
      <c r="D160" s="183"/>
      <c r="E160" s="152"/>
      <c r="F160" s="151"/>
      <c r="G160" s="151"/>
      <c r="H160" s="151"/>
      <c r="I160" s="151"/>
      <c r="J160" s="152"/>
      <c r="K160" s="152"/>
      <c r="L160" s="152"/>
      <c r="M160" s="152"/>
      <c r="N160" s="150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customFormat="false" ht="11.25" hidden="false" customHeight="true" outlineLevel="0" collapsed="false">
      <c r="A161" s="89"/>
      <c r="B161" s="89"/>
      <c r="C161" s="89"/>
      <c r="D161" s="183"/>
      <c r="E161" s="152"/>
      <c r="F161" s="151"/>
      <c r="G161" s="151"/>
      <c r="H161" s="151"/>
      <c r="I161" s="151"/>
      <c r="J161" s="152"/>
      <c r="K161" s="152"/>
      <c r="L161" s="152"/>
      <c r="M161" s="152"/>
      <c r="N161" s="150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customFormat="false" ht="11.25" hidden="false" customHeight="true" outlineLevel="0" collapsed="false">
      <c r="A162" s="89"/>
      <c r="B162" s="89"/>
      <c r="C162" s="89"/>
      <c r="D162" s="183"/>
      <c r="E162" s="152"/>
      <c r="F162" s="151"/>
      <c r="G162" s="151"/>
      <c r="H162" s="151"/>
      <c r="I162" s="151"/>
      <c r="J162" s="152"/>
      <c r="K162" s="152"/>
      <c r="L162" s="152"/>
      <c r="M162" s="152"/>
      <c r="N162" s="150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customFormat="false" ht="11.25" hidden="false" customHeight="true" outlineLevel="0" collapsed="false">
      <c r="A163" s="89"/>
      <c r="B163" s="89"/>
      <c r="C163" s="89"/>
      <c r="D163" s="183"/>
      <c r="E163" s="152"/>
      <c r="F163" s="151"/>
      <c r="G163" s="151"/>
      <c r="H163" s="151"/>
      <c r="I163" s="151"/>
      <c r="J163" s="152"/>
      <c r="K163" s="152"/>
      <c r="L163" s="152"/>
      <c r="M163" s="152"/>
      <c r="N163" s="150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customFormat="false" ht="11.25" hidden="false" customHeight="true" outlineLevel="0" collapsed="false">
      <c r="A164" s="89"/>
      <c r="B164" s="89"/>
      <c r="C164" s="89"/>
      <c r="D164" s="183"/>
      <c r="E164" s="152"/>
      <c r="F164" s="151"/>
      <c r="G164" s="151"/>
      <c r="H164" s="151"/>
      <c r="I164" s="151"/>
      <c r="J164" s="152"/>
      <c r="K164" s="152"/>
      <c r="L164" s="152"/>
      <c r="M164" s="152"/>
      <c r="N164" s="150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customFormat="false" ht="11.25" hidden="false" customHeight="true" outlineLevel="0" collapsed="false">
      <c r="A165" s="89"/>
      <c r="B165" s="89"/>
      <c r="C165" s="89"/>
      <c r="D165" s="183"/>
      <c r="E165" s="152"/>
      <c r="F165" s="151"/>
      <c r="G165" s="151"/>
      <c r="H165" s="151"/>
      <c r="I165" s="151"/>
      <c r="J165" s="152"/>
      <c r="K165" s="152"/>
      <c r="L165" s="152"/>
      <c r="M165" s="152"/>
      <c r="N165" s="150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customFormat="false" ht="11.25" hidden="false" customHeight="true" outlineLevel="0" collapsed="false">
      <c r="A166" s="89"/>
      <c r="B166" s="89"/>
      <c r="C166" s="89"/>
      <c r="D166" s="183"/>
      <c r="E166" s="152"/>
      <c r="F166" s="151"/>
      <c r="G166" s="151"/>
      <c r="H166" s="151"/>
      <c r="I166" s="151"/>
      <c r="J166" s="152"/>
      <c r="K166" s="152"/>
      <c r="L166" s="152"/>
      <c r="M166" s="152"/>
      <c r="N166" s="150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customFormat="false" ht="11.25" hidden="false" customHeight="true" outlineLevel="0" collapsed="false">
      <c r="A167" s="89"/>
      <c r="B167" s="89"/>
      <c r="C167" s="89"/>
      <c r="D167" s="183"/>
      <c r="E167" s="152"/>
      <c r="F167" s="151"/>
      <c r="G167" s="151"/>
      <c r="H167" s="151"/>
      <c r="I167" s="151"/>
      <c r="J167" s="152"/>
      <c r="K167" s="152"/>
      <c r="L167" s="152"/>
      <c r="M167" s="152"/>
      <c r="N167" s="150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customFormat="false" ht="11.25" hidden="false" customHeight="true" outlineLevel="0" collapsed="false">
      <c r="A168" s="89"/>
      <c r="B168" s="89"/>
      <c r="C168" s="89"/>
      <c r="D168" s="183"/>
      <c r="E168" s="152"/>
      <c r="F168" s="151"/>
      <c r="G168" s="151"/>
      <c r="H168" s="151"/>
      <c r="I168" s="151"/>
      <c r="J168" s="152"/>
      <c r="K168" s="152"/>
      <c r="L168" s="152"/>
      <c r="M168" s="152"/>
      <c r="N168" s="150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customFormat="false" ht="11.25" hidden="false" customHeight="true" outlineLevel="0" collapsed="false">
      <c r="A169" s="89"/>
      <c r="B169" s="89"/>
      <c r="C169" s="89"/>
      <c r="D169" s="183"/>
      <c r="E169" s="152"/>
      <c r="F169" s="151"/>
      <c r="G169" s="151"/>
      <c r="H169" s="151"/>
      <c r="I169" s="151"/>
      <c r="J169" s="152"/>
      <c r="K169" s="152"/>
      <c r="L169" s="152"/>
      <c r="M169" s="152"/>
      <c r="N169" s="150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customFormat="false" ht="11.25" hidden="false" customHeight="true" outlineLevel="0" collapsed="false">
      <c r="A170" s="89"/>
      <c r="B170" s="89"/>
      <c r="C170" s="89"/>
      <c r="D170" s="183"/>
      <c r="E170" s="152"/>
      <c r="F170" s="151"/>
      <c r="G170" s="151"/>
      <c r="H170" s="151"/>
      <c r="I170" s="151"/>
      <c r="J170" s="152"/>
      <c r="K170" s="152"/>
      <c r="L170" s="152"/>
      <c r="M170" s="152"/>
      <c r="N170" s="150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</row>
    <row r="171" customFormat="false" ht="11.25" hidden="false" customHeight="true" outlineLevel="0" collapsed="false">
      <c r="A171" s="89"/>
      <c r="B171" s="89"/>
      <c r="C171" s="89"/>
      <c r="D171" s="183"/>
      <c r="E171" s="152"/>
      <c r="F171" s="151"/>
      <c r="G171" s="151"/>
      <c r="H171" s="151"/>
      <c r="I171" s="151"/>
      <c r="J171" s="152"/>
      <c r="K171" s="152"/>
      <c r="L171" s="152"/>
      <c r="M171" s="152"/>
      <c r="N171" s="150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customFormat="false" ht="11.25" hidden="false" customHeight="true" outlineLevel="0" collapsed="false">
      <c r="A172" s="89"/>
      <c r="B172" s="89"/>
      <c r="C172" s="89"/>
      <c r="D172" s="183"/>
      <c r="E172" s="152"/>
      <c r="F172" s="151"/>
      <c r="G172" s="151"/>
      <c r="H172" s="151"/>
      <c r="I172" s="151"/>
      <c r="J172" s="152"/>
      <c r="K172" s="152"/>
      <c r="L172" s="152"/>
      <c r="M172" s="152"/>
      <c r="N172" s="150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customFormat="false" ht="11.25" hidden="false" customHeight="true" outlineLevel="0" collapsed="false">
      <c r="A173" s="89"/>
      <c r="B173" s="89"/>
      <c r="C173" s="89"/>
      <c r="D173" s="183"/>
      <c r="E173" s="152"/>
      <c r="F173" s="151"/>
      <c r="G173" s="151"/>
      <c r="H173" s="151"/>
      <c r="I173" s="151"/>
      <c r="J173" s="152"/>
      <c r="K173" s="152"/>
      <c r="L173" s="152"/>
      <c r="M173" s="152"/>
      <c r="N173" s="150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customFormat="false" ht="11.25" hidden="false" customHeight="true" outlineLevel="0" collapsed="false">
      <c r="A174" s="89"/>
      <c r="B174" s="89"/>
      <c r="C174" s="89"/>
      <c r="D174" s="183"/>
      <c r="E174" s="152"/>
      <c r="F174" s="151"/>
      <c r="G174" s="151"/>
      <c r="H174" s="151"/>
      <c r="I174" s="151"/>
      <c r="J174" s="152"/>
      <c r="K174" s="152"/>
      <c r="L174" s="152"/>
      <c r="M174" s="152"/>
      <c r="N174" s="150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customFormat="false" ht="11.25" hidden="false" customHeight="true" outlineLevel="0" collapsed="false">
      <c r="A175" s="89"/>
      <c r="B175" s="89"/>
      <c r="C175" s="89"/>
      <c r="D175" s="183"/>
      <c r="E175" s="152"/>
      <c r="F175" s="151"/>
      <c r="G175" s="151"/>
      <c r="H175" s="151"/>
      <c r="I175" s="151"/>
      <c r="J175" s="152"/>
      <c r="K175" s="152"/>
      <c r="L175" s="152"/>
      <c r="M175" s="152"/>
      <c r="N175" s="150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customFormat="false" ht="11.25" hidden="false" customHeight="true" outlineLevel="0" collapsed="false">
      <c r="A176" s="89"/>
      <c r="B176" s="89"/>
      <c r="C176" s="89"/>
      <c r="D176" s="183"/>
      <c r="E176" s="152"/>
      <c r="F176" s="151"/>
      <c r="G176" s="151"/>
      <c r="H176" s="151"/>
      <c r="I176" s="151"/>
      <c r="J176" s="152"/>
      <c r="K176" s="152"/>
      <c r="L176" s="152"/>
      <c r="M176" s="152"/>
      <c r="N176" s="150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customFormat="false" ht="11.25" hidden="false" customHeight="true" outlineLevel="0" collapsed="false">
      <c r="A177" s="89"/>
      <c r="B177" s="89"/>
      <c r="C177" s="89"/>
      <c r="D177" s="183"/>
      <c r="E177" s="152"/>
      <c r="F177" s="151"/>
      <c r="G177" s="151"/>
      <c r="H177" s="151"/>
      <c r="I177" s="151"/>
      <c r="J177" s="152"/>
      <c r="K177" s="152"/>
      <c r="L177" s="152"/>
      <c r="M177" s="152"/>
      <c r="N177" s="150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customFormat="false" ht="11.25" hidden="false" customHeight="true" outlineLevel="0" collapsed="false">
      <c r="A178" s="89"/>
      <c r="B178" s="89"/>
      <c r="C178" s="89"/>
      <c r="D178" s="183"/>
      <c r="E178" s="152"/>
      <c r="F178" s="151"/>
      <c r="G178" s="151"/>
      <c r="H178" s="151"/>
      <c r="I178" s="151"/>
      <c r="J178" s="152"/>
      <c r="K178" s="152"/>
      <c r="L178" s="152"/>
      <c r="M178" s="152"/>
      <c r="N178" s="150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customFormat="false" ht="11.25" hidden="false" customHeight="true" outlineLevel="0" collapsed="false">
      <c r="A179" s="89"/>
      <c r="B179" s="89"/>
      <c r="C179" s="89"/>
      <c r="D179" s="183"/>
      <c r="E179" s="152"/>
      <c r="F179" s="151"/>
      <c r="G179" s="151"/>
      <c r="H179" s="151"/>
      <c r="I179" s="151"/>
      <c r="J179" s="152"/>
      <c r="K179" s="152"/>
      <c r="L179" s="152"/>
      <c r="M179" s="152"/>
      <c r="N179" s="150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customFormat="false" ht="11.25" hidden="false" customHeight="true" outlineLevel="0" collapsed="false">
      <c r="A180" s="89"/>
      <c r="B180" s="89"/>
      <c r="C180" s="89"/>
      <c r="D180" s="183"/>
      <c r="E180" s="152"/>
      <c r="F180" s="151"/>
      <c r="G180" s="151"/>
      <c r="H180" s="151"/>
      <c r="I180" s="151"/>
      <c r="J180" s="152"/>
      <c r="K180" s="152"/>
      <c r="L180" s="152"/>
      <c r="M180" s="152"/>
      <c r="N180" s="150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customFormat="false" ht="11.25" hidden="false" customHeight="true" outlineLevel="0" collapsed="false">
      <c r="A181" s="89"/>
      <c r="B181" s="89"/>
      <c r="C181" s="89"/>
      <c r="D181" s="183"/>
      <c r="E181" s="152"/>
      <c r="F181" s="151"/>
      <c r="G181" s="151"/>
      <c r="H181" s="151"/>
      <c r="I181" s="151"/>
      <c r="J181" s="152"/>
      <c r="K181" s="152"/>
      <c r="L181" s="152"/>
      <c r="M181" s="152"/>
      <c r="N181" s="150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customFormat="false" ht="11.25" hidden="false" customHeight="true" outlineLevel="0" collapsed="false">
      <c r="A182" s="89"/>
      <c r="B182" s="89"/>
      <c r="C182" s="89"/>
      <c r="D182" s="183"/>
      <c r="E182" s="152"/>
      <c r="F182" s="151"/>
      <c r="G182" s="151"/>
      <c r="H182" s="151"/>
      <c r="I182" s="151"/>
      <c r="J182" s="152"/>
      <c r="K182" s="152"/>
      <c r="L182" s="152"/>
      <c r="M182" s="152"/>
      <c r="N182" s="150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customFormat="false" ht="11.25" hidden="false" customHeight="true" outlineLevel="0" collapsed="false">
      <c r="A183" s="89"/>
      <c r="B183" s="89"/>
      <c r="C183" s="89"/>
      <c r="D183" s="183"/>
      <c r="E183" s="152"/>
      <c r="F183" s="151"/>
      <c r="G183" s="151"/>
      <c r="H183" s="151"/>
      <c r="I183" s="151"/>
      <c r="J183" s="152"/>
      <c r="K183" s="152"/>
      <c r="L183" s="152"/>
      <c r="M183" s="152"/>
      <c r="N183" s="150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customFormat="false" ht="11.25" hidden="false" customHeight="true" outlineLevel="0" collapsed="false">
      <c r="A184" s="89"/>
      <c r="B184" s="89"/>
      <c r="C184" s="89"/>
      <c r="D184" s="183"/>
      <c r="E184" s="152"/>
      <c r="F184" s="151"/>
      <c r="G184" s="151"/>
      <c r="H184" s="151"/>
      <c r="I184" s="151"/>
      <c r="J184" s="152"/>
      <c r="K184" s="152"/>
      <c r="L184" s="152"/>
      <c r="M184" s="152"/>
      <c r="N184" s="150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customFormat="false" ht="11.25" hidden="false" customHeight="true" outlineLevel="0" collapsed="false">
      <c r="A185" s="89"/>
      <c r="B185" s="89"/>
      <c r="C185" s="89"/>
      <c r="D185" s="183"/>
      <c r="E185" s="152"/>
      <c r="F185" s="151"/>
      <c r="G185" s="151"/>
      <c r="H185" s="151"/>
      <c r="I185" s="151"/>
      <c r="J185" s="152"/>
      <c r="K185" s="152"/>
      <c r="L185" s="152"/>
      <c r="M185" s="152"/>
      <c r="N185" s="150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customFormat="false" ht="11.25" hidden="false" customHeight="true" outlineLevel="0" collapsed="false">
      <c r="A186" s="89"/>
      <c r="B186" s="89"/>
      <c r="C186" s="89"/>
      <c r="D186" s="183"/>
      <c r="E186" s="152"/>
      <c r="F186" s="151"/>
      <c r="G186" s="151"/>
      <c r="H186" s="151"/>
      <c r="I186" s="151"/>
      <c r="J186" s="152"/>
      <c r="K186" s="152"/>
      <c r="L186" s="152"/>
      <c r="M186" s="152"/>
      <c r="N186" s="150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customFormat="false" ht="11.25" hidden="false" customHeight="true" outlineLevel="0" collapsed="false">
      <c r="A187" s="89"/>
      <c r="B187" s="89"/>
      <c r="C187" s="89"/>
      <c r="D187" s="183"/>
      <c r="E187" s="152"/>
      <c r="F187" s="151"/>
      <c r="G187" s="151"/>
      <c r="H187" s="151"/>
      <c r="I187" s="151"/>
      <c r="J187" s="152"/>
      <c r="K187" s="152"/>
      <c r="L187" s="152"/>
      <c r="M187" s="152"/>
      <c r="N187" s="150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customFormat="false" ht="11.25" hidden="false" customHeight="true" outlineLevel="0" collapsed="false">
      <c r="A188" s="89"/>
      <c r="B188" s="89"/>
      <c r="C188" s="89"/>
      <c r="D188" s="183"/>
      <c r="E188" s="152"/>
      <c r="F188" s="151"/>
      <c r="G188" s="151"/>
      <c r="H188" s="151"/>
      <c r="I188" s="151"/>
      <c r="J188" s="152"/>
      <c r="K188" s="152"/>
      <c r="L188" s="152"/>
      <c r="M188" s="152"/>
      <c r="N188" s="150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customFormat="false" ht="11.25" hidden="false" customHeight="true" outlineLevel="0" collapsed="false">
      <c r="A189" s="89"/>
      <c r="B189" s="89"/>
      <c r="C189" s="89"/>
      <c r="D189" s="183"/>
      <c r="E189" s="152"/>
      <c r="F189" s="151"/>
      <c r="G189" s="151"/>
      <c r="H189" s="151"/>
      <c r="I189" s="151"/>
      <c r="J189" s="152"/>
      <c r="K189" s="152"/>
      <c r="L189" s="152"/>
      <c r="M189" s="152"/>
      <c r="N189" s="150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customFormat="false" ht="11.25" hidden="false" customHeight="true" outlineLevel="0" collapsed="false">
      <c r="A190" s="89"/>
      <c r="B190" s="89"/>
      <c r="C190" s="89"/>
      <c r="D190" s="183"/>
      <c r="E190" s="152"/>
      <c r="F190" s="151"/>
      <c r="G190" s="151"/>
      <c r="H190" s="151"/>
      <c r="I190" s="151"/>
      <c r="J190" s="152"/>
      <c r="K190" s="152"/>
      <c r="L190" s="152"/>
      <c r="M190" s="152"/>
      <c r="N190" s="150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customFormat="false" ht="11.25" hidden="false" customHeight="true" outlineLevel="0" collapsed="false">
      <c r="A191" s="89"/>
      <c r="B191" s="89"/>
      <c r="C191" s="89"/>
      <c r="D191" s="183"/>
      <c r="E191" s="152"/>
      <c r="F191" s="151"/>
      <c r="G191" s="151"/>
      <c r="H191" s="151"/>
      <c r="I191" s="151"/>
      <c r="J191" s="152"/>
      <c r="K191" s="152"/>
      <c r="L191" s="152"/>
      <c r="M191" s="152"/>
      <c r="N191" s="150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customFormat="false" ht="11.25" hidden="false" customHeight="true" outlineLevel="0" collapsed="false">
      <c r="A192" s="89"/>
      <c r="B192" s="89"/>
      <c r="C192" s="89"/>
      <c r="D192" s="183"/>
      <c r="E192" s="152"/>
      <c r="F192" s="151"/>
      <c r="G192" s="151"/>
      <c r="H192" s="151"/>
      <c r="I192" s="151"/>
      <c r="J192" s="152"/>
      <c r="K192" s="152"/>
      <c r="L192" s="152"/>
      <c r="M192" s="152"/>
      <c r="N192" s="150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customFormat="false" ht="11.25" hidden="false" customHeight="true" outlineLevel="0" collapsed="false">
      <c r="A193" s="89"/>
      <c r="B193" s="89"/>
      <c r="C193" s="89"/>
      <c r="D193" s="183"/>
      <c r="E193" s="152"/>
      <c r="F193" s="151"/>
      <c r="G193" s="151"/>
      <c r="H193" s="151"/>
      <c r="I193" s="151"/>
      <c r="J193" s="152"/>
      <c r="K193" s="152"/>
      <c r="L193" s="152"/>
      <c r="M193" s="152"/>
      <c r="N193" s="150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customFormat="false" ht="11.25" hidden="false" customHeight="true" outlineLevel="0" collapsed="false">
      <c r="A194" s="89"/>
      <c r="B194" s="89"/>
      <c r="C194" s="89"/>
      <c r="D194" s="183"/>
      <c r="E194" s="152"/>
      <c r="F194" s="151"/>
      <c r="G194" s="151"/>
      <c r="H194" s="151"/>
      <c r="I194" s="151"/>
      <c r="J194" s="152"/>
      <c r="K194" s="152"/>
      <c r="L194" s="152"/>
      <c r="M194" s="152"/>
      <c r="N194" s="150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customFormat="false" ht="11.25" hidden="false" customHeight="true" outlineLevel="0" collapsed="false">
      <c r="A195" s="89"/>
      <c r="B195" s="89"/>
      <c r="C195" s="89"/>
      <c r="D195" s="183"/>
      <c r="E195" s="152"/>
      <c r="F195" s="151"/>
      <c r="G195" s="151"/>
      <c r="H195" s="151"/>
      <c r="I195" s="151"/>
      <c r="J195" s="152"/>
      <c r="K195" s="152"/>
      <c r="L195" s="152"/>
      <c r="M195" s="152"/>
      <c r="N195" s="150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customFormat="false" ht="11.25" hidden="false" customHeight="true" outlineLevel="0" collapsed="false">
      <c r="A196" s="89"/>
      <c r="B196" s="89"/>
      <c r="C196" s="89"/>
      <c r="D196" s="183"/>
      <c r="E196" s="152"/>
      <c r="F196" s="151"/>
      <c r="G196" s="151"/>
      <c r="H196" s="151"/>
      <c r="I196" s="151"/>
      <c r="J196" s="152"/>
      <c r="K196" s="152"/>
      <c r="L196" s="152"/>
      <c r="M196" s="152"/>
      <c r="N196" s="150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</row>
    <row r="197" customFormat="false" ht="11.25" hidden="false" customHeight="true" outlineLevel="0" collapsed="false">
      <c r="A197" s="89"/>
      <c r="B197" s="89"/>
      <c r="C197" s="89"/>
      <c r="D197" s="183"/>
      <c r="E197" s="152"/>
      <c r="F197" s="151"/>
      <c r="G197" s="151"/>
      <c r="H197" s="151"/>
      <c r="I197" s="151"/>
      <c r="J197" s="152"/>
      <c r="K197" s="152"/>
      <c r="L197" s="152"/>
      <c r="M197" s="152"/>
      <c r="N197" s="150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customFormat="false" ht="11.25" hidden="false" customHeight="true" outlineLevel="0" collapsed="false">
      <c r="A198" s="89"/>
      <c r="B198" s="89"/>
      <c r="C198" s="89"/>
      <c r="D198" s="183"/>
      <c r="E198" s="152"/>
      <c r="F198" s="151"/>
      <c r="G198" s="151"/>
      <c r="H198" s="151"/>
      <c r="I198" s="151"/>
      <c r="J198" s="152"/>
      <c r="K198" s="152"/>
      <c r="L198" s="152"/>
      <c r="M198" s="152"/>
      <c r="N198" s="150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customFormat="false" ht="11.25" hidden="false" customHeight="true" outlineLevel="0" collapsed="false">
      <c r="A199" s="89"/>
      <c r="B199" s="89"/>
      <c r="C199" s="89"/>
      <c r="D199" s="183"/>
      <c r="E199" s="152"/>
      <c r="F199" s="151"/>
      <c r="G199" s="151"/>
      <c r="H199" s="151"/>
      <c r="I199" s="151"/>
      <c r="J199" s="152"/>
      <c r="K199" s="152"/>
      <c r="L199" s="152"/>
      <c r="M199" s="152"/>
      <c r="N199" s="150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customFormat="false" ht="11.25" hidden="false" customHeight="true" outlineLevel="0" collapsed="false">
      <c r="A200" s="89"/>
      <c r="B200" s="89"/>
      <c r="C200" s="89"/>
      <c r="D200" s="183"/>
      <c r="E200" s="152"/>
      <c r="F200" s="151"/>
      <c r="G200" s="151"/>
      <c r="H200" s="151"/>
      <c r="I200" s="151"/>
      <c r="J200" s="152"/>
      <c r="K200" s="152"/>
      <c r="L200" s="152"/>
      <c r="M200" s="152"/>
      <c r="N200" s="150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customFormat="false" ht="11.25" hidden="false" customHeight="true" outlineLevel="0" collapsed="false">
      <c r="A201" s="89"/>
      <c r="B201" s="89"/>
      <c r="C201" s="89"/>
      <c r="D201" s="183"/>
      <c r="E201" s="152"/>
      <c r="F201" s="151"/>
      <c r="G201" s="151"/>
      <c r="H201" s="151"/>
      <c r="I201" s="151"/>
      <c r="J201" s="152"/>
      <c r="K201" s="152"/>
      <c r="L201" s="152"/>
      <c r="M201" s="152"/>
      <c r="N201" s="150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customFormat="false" ht="11.25" hidden="false" customHeight="true" outlineLevel="0" collapsed="false">
      <c r="A202" s="89"/>
      <c r="B202" s="89"/>
      <c r="C202" s="89"/>
      <c r="D202" s="183"/>
      <c r="E202" s="152"/>
      <c r="F202" s="151"/>
      <c r="G202" s="151"/>
      <c r="H202" s="151"/>
      <c r="I202" s="151"/>
      <c r="J202" s="152"/>
      <c r="K202" s="152"/>
      <c r="L202" s="152"/>
      <c r="M202" s="152"/>
      <c r="N202" s="150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customFormat="false" ht="11.25" hidden="false" customHeight="true" outlineLevel="0" collapsed="false">
      <c r="A203" s="89"/>
      <c r="B203" s="89"/>
      <c r="C203" s="89"/>
      <c r="D203" s="183"/>
      <c r="E203" s="152"/>
      <c r="F203" s="151"/>
      <c r="G203" s="151"/>
      <c r="H203" s="151"/>
      <c r="I203" s="151"/>
      <c r="J203" s="152"/>
      <c r="K203" s="152"/>
      <c r="L203" s="152"/>
      <c r="M203" s="152"/>
      <c r="N203" s="150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customFormat="false" ht="11.25" hidden="false" customHeight="true" outlineLevel="0" collapsed="false">
      <c r="A204" s="89"/>
      <c r="B204" s="89"/>
      <c r="C204" s="89"/>
      <c r="D204" s="183"/>
      <c r="E204" s="152"/>
      <c r="F204" s="151"/>
      <c r="G204" s="151"/>
      <c r="H204" s="151"/>
      <c r="I204" s="151"/>
      <c r="J204" s="152"/>
      <c r="K204" s="152"/>
      <c r="L204" s="152"/>
      <c r="M204" s="152"/>
      <c r="N204" s="150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customFormat="false" ht="11.25" hidden="false" customHeight="true" outlineLevel="0" collapsed="false">
      <c r="A205" s="89"/>
      <c r="B205" s="89"/>
      <c r="C205" s="89"/>
      <c r="D205" s="183"/>
      <c r="E205" s="152"/>
      <c r="F205" s="151"/>
      <c r="G205" s="151"/>
      <c r="H205" s="151"/>
      <c r="I205" s="151"/>
      <c r="J205" s="152"/>
      <c r="K205" s="152"/>
      <c r="L205" s="152"/>
      <c r="M205" s="152"/>
      <c r="N205" s="150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customFormat="false" ht="11.25" hidden="false" customHeight="true" outlineLevel="0" collapsed="false">
      <c r="A206" s="89"/>
      <c r="B206" s="89"/>
      <c r="C206" s="89"/>
      <c r="D206" s="183"/>
      <c r="E206" s="152"/>
      <c r="F206" s="151"/>
      <c r="G206" s="151"/>
      <c r="H206" s="151"/>
      <c r="I206" s="151"/>
      <c r="J206" s="152"/>
      <c r="K206" s="152"/>
      <c r="L206" s="152"/>
      <c r="M206" s="152"/>
      <c r="N206" s="150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customFormat="false" ht="11.25" hidden="false" customHeight="true" outlineLevel="0" collapsed="false">
      <c r="A207" s="89"/>
      <c r="B207" s="89"/>
      <c r="C207" s="89"/>
      <c r="D207" s="183"/>
      <c r="E207" s="152"/>
      <c r="F207" s="151"/>
      <c r="G207" s="151"/>
      <c r="H207" s="151"/>
      <c r="I207" s="151"/>
      <c r="J207" s="152"/>
      <c r="K207" s="152"/>
      <c r="L207" s="152"/>
      <c r="M207" s="152"/>
      <c r="N207" s="150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customFormat="false" ht="11.25" hidden="false" customHeight="true" outlineLevel="0" collapsed="false">
      <c r="A208" s="89"/>
      <c r="B208" s="89"/>
      <c r="C208" s="89"/>
      <c r="D208" s="183"/>
      <c r="E208" s="152"/>
      <c r="F208" s="151"/>
      <c r="G208" s="151"/>
      <c r="H208" s="151"/>
      <c r="I208" s="151"/>
      <c r="J208" s="152"/>
      <c r="K208" s="152"/>
      <c r="L208" s="152"/>
      <c r="M208" s="152"/>
      <c r="N208" s="150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customFormat="false" ht="11.25" hidden="false" customHeight="true" outlineLevel="0" collapsed="false">
      <c r="A209" s="89"/>
      <c r="B209" s="89"/>
      <c r="C209" s="89"/>
      <c r="D209" s="183"/>
      <c r="E209" s="152"/>
      <c r="F209" s="151"/>
      <c r="G209" s="151"/>
      <c r="H209" s="151"/>
      <c r="I209" s="151"/>
      <c r="J209" s="152"/>
      <c r="K209" s="152"/>
      <c r="L209" s="152"/>
      <c r="M209" s="152"/>
      <c r="N209" s="150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customFormat="false" ht="11.25" hidden="false" customHeight="true" outlineLevel="0" collapsed="false">
      <c r="A210" s="89"/>
      <c r="B210" s="89"/>
      <c r="C210" s="89"/>
      <c r="D210" s="183"/>
      <c r="E210" s="152"/>
      <c r="F210" s="151"/>
      <c r="G210" s="151"/>
      <c r="H210" s="151"/>
      <c r="I210" s="151"/>
      <c r="J210" s="152"/>
      <c r="K210" s="152"/>
      <c r="L210" s="152"/>
      <c r="M210" s="152"/>
      <c r="N210" s="150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customFormat="false" ht="11.25" hidden="false" customHeight="true" outlineLevel="0" collapsed="false">
      <c r="A211" s="89"/>
      <c r="B211" s="89"/>
      <c r="C211" s="89"/>
      <c r="D211" s="183"/>
      <c r="E211" s="152"/>
      <c r="F211" s="151"/>
      <c r="G211" s="151"/>
      <c r="H211" s="151"/>
      <c r="I211" s="151"/>
      <c r="J211" s="152"/>
      <c r="K211" s="152"/>
      <c r="L211" s="152"/>
      <c r="M211" s="152"/>
      <c r="N211" s="150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customFormat="false" ht="11.25" hidden="false" customHeight="true" outlineLevel="0" collapsed="false">
      <c r="A212" s="89"/>
      <c r="B212" s="89"/>
      <c r="C212" s="89"/>
      <c r="D212" s="183"/>
      <c r="E212" s="152"/>
      <c r="F212" s="151"/>
      <c r="G212" s="151"/>
      <c r="H212" s="151"/>
      <c r="I212" s="151"/>
      <c r="J212" s="152"/>
      <c r="K212" s="152"/>
      <c r="L212" s="152"/>
      <c r="M212" s="152"/>
      <c r="N212" s="150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customFormat="false" ht="11.25" hidden="false" customHeight="true" outlineLevel="0" collapsed="false">
      <c r="A213" s="89"/>
      <c r="B213" s="89"/>
      <c r="C213" s="89"/>
      <c r="D213" s="183"/>
      <c r="E213" s="152"/>
      <c r="F213" s="151"/>
      <c r="G213" s="151"/>
      <c r="H213" s="151"/>
      <c r="I213" s="151"/>
      <c r="J213" s="152"/>
      <c r="K213" s="152"/>
      <c r="L213" s="152"/>
      <c r="M213" s="152"/>
      <c r="N213" s="150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customFormat="false" ht="11.25" hidden="false" customHeight="true" outlineLevel="0" collapsed="false">
      <c r="A214" s="89"/>
      <c r="B214" s="89"/>
      <c r="C214" s="89"/>
      <c r="D214" s="183"/>
      <c r="E214" s="152"/>
      <c r="F214" s="151"/>
      <c r="G214" s="151"/>
      <c r="H214" s="151"/>
      <c r="I214" s="151"/>
      <c r="J214" s="152"/>
      <c r="K214" s="152"/>
      <c r="L214" s="152"/>
      <c r="M214" s="152"/>
      <c r="N214" s="150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customFormat="false" ht="11.25" hidden="false" customHeight="true" outlineLevel="0" collapsed="false">
      <c r="A215" s="89"/>
      <c r="B215" s="89"/>
      <c r="C215" s="89"/>
      <c r="D215" s="183"/>
      <c r="E215" s="152"/>
      <c r="F215" s="151"/>
      <c r="G215" s="151"/>
      <c r="H215" s="151"/>
      <c r="I215" s="151"/>
      <c r="J215" s="152"/>
      <c r="K215" s="152"/>
      <c r="L215" s="152"/>
      <c r="M215" s="152"/>
      <c r="N215" s="150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customFormat="false" ht="11.25" hidden="false" customHeight="true" outlineLevel="0" collapsed="false">
      <c r="A216" s="89"/>
      <c r="B216" s="89"/>
      <c r="C216" s="89"/>
      <c r="D216" s="183"/>
      <c r="E216" s="152"/>
      <c r="F216" s="151"/>
      <c r="G216" s="151"/>
      <c r="H216" s="151"/>
      <c r="I216" s="151"/>
      <c r="J216" s="152"/>
      <c r="K216" s="152"/>
      <c r="L216" s="152"/>
      <c r="M216" s="152"/>
      <c r="N216" s="150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customFormat="false" ht="11.25" hidden="false" customHeight="true" outlineLevel="0" collapsed="false">
      <c r="A217" s="89"/>
      <c r="B217" s="89"/>
      <c r="C217" s="89"/>
      <c r="D217" s="183"/>
      <c r="E217" s="152"/>
      <c r="F217" s="151"/>
      <c r="G217" s="151"/>
      <c r="H217" s="151"/>
      <c r="I217" s="151"/>
      <c r="J217" s="152"/>
      <c r="K217" s="152"/>
      <c r="L217" s="152"/>
      <c r="M217" s="152"/>
      <c r="N217" s="150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customFormat="false" ht="11.25" hidden="false" customHeight="true" outlineLevel="0" collapsed="false">
      <c r="A218" s="89"/>
      <c r="B218" s="89"/>
      <c r="C218" s="89"/>
      <c r="D218" s="183"/>
      <c r="E218" s="152"/>
      <c r="F218" s="151"/>
      <c r="G218" s="151"/>
      <c r="H218" s="151"/>
      <c r="I218" s="151"/>
      <c r="J218" s="152"/>
      <c r="K218" s="152"/>
      <c r="L218" s="152"/>
      <c r="M218" s="152"/>
      <c r="N218" s="150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customFormat="false" ht="11.25" hidden="false" customHeight="true" outlineLevel="0" collapsed="false">
      <c r="A219" s="89"/>
      <c r="B219" s="89"/>
      <c r="C219" s="89"/>
      <c r="D219" s="183"/>
      <c r="E219" s="152"/>
      <c r="F219" s="151"/>
      <c r="G219" s="151"/>
      <c r="H219" s="151"/>
      <c r="I219" s="151"/>
      <c r="J219" s="152"/>
      <c r="K219" s="152"/>
      <c r="L219" s="152"/>
      <c r="M219" s="152"/>
      <c r="N219" s="150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customFormat="false" ht="11.25" hidden="false" customHeight="true" outlineLevel="0" collapsed="false">
      <c r="A220" s="89"/>
      <c r="B220" s="89"/>
      <c r="C220" s="89"/>
      <c r="D220" s="183"/>
      <c r="E220" s="152"/>
      <c r="F220" s="151"/>
      <c r="G220" s="151"/>
      <c r="H220" s="151"/>
      <c r="I220" s="151"/>
      <c r="J220" s="152"/>
      <c r="K220" s="152"/>
      <c r="L220" s="152"/>
      <c r="M220" s="152"/>
      <c r="N220" s="150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customFormat="false" ht="11.25" hidden="false" customHeight="true" outlineLevel="0" collapsed="false">
      <c r="A221" s="89"/>
      <c r="B221" s="89"/>
      <c r="C221" s="89"/>
      <c r="D221" s="183"/>
      <c r="E221" s="152"/>
      <c r="F221" s="151"/>
      <c r="G221" s="151"/>
      <c r="H221" s="151"/>
      <c r="I221" s="151"/>
      <c r="J221" s="152"/>
      <c r="K221" s="152"/>
      <c r="L221" s="152"/>
      <c r="M221" s="152"/>
      <c r="N221" s="150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</row>
    <row r="222" customFormat="false" ht="11.25" hidden="false" customHeight="true" outlineLevel="0" collapsed="false">
      <c r="A222" s="89"/>
      <c r="B222" s="89"/>
      <c r="C222" s="89"/>
      <c r="D222" s="183"/>
      <c r="E222" s="152"/>
      <c r="F222" s="151"/>
      <c r="G222" s="151"/>
      <c r="H222" s="151"/>
      <c r="I222" s="151"/>
      <c r="J222" s="152"/>
      <c r="K222" s="152"/>
      <c r="L222" s="152"/>
      <c r="M222" s="152"/>
      <c r="N222" s="150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</row>
    <row r="223" customFormat="false" ht="11.25" hidden="false" customHeight="true" outlineLevel="0" collapsed="false">
      <c r="A223" s="89"/>
      <c r="B223" s="89"/>
      <c r="C223" s="89"/>
      <c r="D223" s="183"/>
      <c r="E223" s="152"/>
      <c r="F223" s="151"/>
      <c r="G223" s="151"/>
      <c r="H223" s="151"/>
      <c r="I223" s="151"/>
      <c r="J223" s="152"/>
      <c r="K223" s="152"/>
      <c r="L223" s="152"/>
      <c r="M223" s="152"/>
      <c r="N223" s="150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</row>
    <row r="224" customFormat="false" ht="11.25" hidden="false" customHeight="true" outlineLevel="0" collapsed="false">
      <c r="A224" s="89"/>
      <c r="B224" s="89"/>
      <c r="C224" s="89"/>
      <c r="D224" s="183"/>
      <c r="E224" s="152"/>
      <c r="F224" s="151"/>
      <c r="G224" s="151"/>
      <c r="H224" s="151"/>
      <c r="I224" s="151"/>
      <c r="J224" s="152"/>
      <c r="K224" s="152"/>
      <c r="L224" s="152"/>
      <c r="M224" s="152"/>
      <c r="N224" s="150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</row>
    <row r="225" customFormat="false" ht="11.25" hidden="false" customHeight="true" outlineLevel="0" collapsed="false">
      <c r="A225" s="89"/>
      <c r="B225" s="89"/>
      <c r="C225" s="89"/>
      <c r="D225" s="183"/>
      <c r="E225" s="152"/>
      <c r="F225" s="151"/>
      <c r="G225" s="151"/>
      <c r="H225" s="151"/>
      <c r="I225" s="151"/>
      <c r="J225" s="152"/>
      <c r="K225" s="152"/>
      <c r="L225" s="152"/>
      <c r="M225" s="152"/>
      <c r="N225" s="150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</row>
    <row r="226" customFormat="false" ht="11.25" hidden="false" customHeight="true" outlineLevel="0" collapsed="false">
      <c r="A226" s="89"/>
      <c r="B226" s="89"/>
      <c r="C226" s="89"/>
      <c r="D226" s="183"/>
      <c r="E226" s="152"/>
      <c r="F226" s="151"/>
      <c r="G226" s="151"/>
      <c r="H226" s="151"/>
      <c r="I226" s="151"/>
      <c r="J226" s="152"/>
      <c r="K226" s="152"/>
      <c r="L226" s="152"/>
      <c r="M226" s="152"/>
      <c r="N226" s="150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</row>
    <row r="227" customFormat="false" ht="11.25" hidden="false" customHeight="true" outlineLevel="0" collapsed="false">
      <c r="A227" s="89"/>
      <c r="B227" s="89"/>
      <c r="C227" s="89"/>
      <c r="D227" s="183"/>
      <c r="E227" s="152"/>
      <c r="F227" s="151"/>
      <c r="G227" s="151"/>
      <c r="H227" s="151"/>
      <c r="I227" s="151"/>
      <c r="J227" s="152"/>
      <c r="K227" s="152"/>
      <c r="L227" s="152"/>
      <c r="M227" s="152"/>
      <c r="N227" s="150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</row>
    <row r="228" customFormat="false" ht="11.25" hidden="false" customHeight="true" outlineLevel="0" collapsed="false">
      <c r="A228" s="89"/>
      <c r="B228" s="89"/>
      <c r="C228" s="89"/>
      <c r="D228" s="183"/>
      <c r="E228" s="152"/>
      <c r="F228" s="151"/>
      <c r="G228" s="151"/>
      <c r="H228" s="151"/>
      <c r="I228" s="151"/>
      <c r="J228" s="152"/>
      <c r="K228" s="152"/>
      <c r="L228" s="152"/>
      <c r="M228" s="152"/>
      <c r="N228" s="150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</row>
    <row r="229" customFormat="false" ht="11.25" hidden="false" customHeight="true" outlineLevel="0" collapsed="false">
      <c r="A229" s="89"/>
      <c r="B229" s="89"/>
      <c r="C229" s="89"/>
      <c r="D229" s="183"/>
      <c r="E229" s="152"/>
      <c r="F229" s="151"/>
      <c r="G229" s="151"/>
      <c r="H229" s="151"/>
      <c r="I229" s="151"/>
      <c r="J229" s="152"/>
      <c r="K229" s="152"/>
      <c r="L229" s="152"/>
      <c r="M229" s="152"/>
      <c r="N229" s="150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</row>
    <row r="230" customFormat="false" ht="11.25" hidden="false" customHeight="true" outlineLevel="0" collapsed="false">
      <c r="A230" s="89"/>
      <c r="B230" s="89"/>
      <c r="C230" s="89"/>
      <c r="D230" s="183"/>
      <c r="E230" s="152"/>
      <c r="F230" s="151"/>
      <c r="G230" s="151"/>
      <c r="H230" s="151"/>
      <c r="I230" s="151"/>
      <c r="J230" s="152"/>
      <c r="K230" s="152"/>
      <c r="L230" s="152"/>
      <c r="M230" s="152"/>
      <c r="N230" s="150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</row>
    <row r="231" customFormat="false" ht="11.25" hidden="false" customHeight="true" outlineLevel="0" collapsed="false">
      <c r="A231" s="89"/>
      <c r="B231" s="89"/>
      <c r="C231" s="89"/>
      <c r="D231" s="183"/>
      <c r="E231" s="152"/>
      <c r="F231" s="151"/>
      <c r="G231" s="151"/>
      <c r="H231" s="151"/>
      <c r="I231" s="151"/>
      <c r="J231" s="152"/>
      <c r="K231" s="152"/>
      <c r="L231" s="152"/>
      <c r="M231" s="152"/>
      <c r="N231" s="150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</row>
    <row r="232" customFormat="false" ht="11.25" hidden="false" customHeight="true" outlineLevel="0" collapsed="false">
      <c r="A232" s="89"/>
      <c r="B232" s="89"/>
      <c r="C232" s="89"/>
      <c r="D232" s="183"/>
      <c r="E232" s="152"/>
      <c r="F232" s="151"/>
      <c r="G232" s="151"/>
      <c r="H232" s="151"/>
      <c r="I232" s="151"/>
      <c r="J232" s="152"/>
      <c r="K232" s="152"/>
      <c r="L232" s="152"/>
      <c r="M232" s="152"/>
      <c r="N232" s="150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</row>
    <row r="233" customFormat="false" ht="11.25" hidden="false" customHeight="true" outlineLevel="0" collapsed="false">
      <c r="A233" s="89"/>
      <c r="B233" s="89"/>
      <c r="C233" s="89"/>
      <c r="D233" s="183"/>
      <c r="E233" s="152"/>
      <c r="F233" s="151"/>
      <c r="G233" s="151"/>
      <c r="H233" s="151"/>
      <c r="I233" s="151"/>
      <c r="J233" s="152"/>
      <c r="K233" s="152"/>
      <c r="L233" s="152"/>
      <c r="M233" s="152"/>
      <c r="N233" s="150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</row>
    <row r="234" customFormat="false" ht="11.25" hidden="false" customHeight="true" outlineLevel="0" collapsed="false">
      <c r="A234" s="89"/>
      <c r="B234" s="89"/>
      <c r="C234" s="89"/>
      <c r="D234" s="183"/>
      <c r="E234" s="152"/>
      <c r="F234" s="151"/>
      <c r="G234" s="151"/>
      <c r="H234" s="151"/>
      <c r="I234" s="151"/>
      <c r="J234" s="152"/>
      <c r="K234" s="152"/>
      <c r="L234" s="152"/>
      <c r="M234" s="152"/>
      <c r="N234" s="150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</row>
    <row r="235" customFormat="false" ht="11.25" hidden="false" customHeight="true" outlineLevel="0" collapsed="false">
      <c r="A235" s="89"/>
      <c r="B235" s="89"/>
      <c r="C235" s="89"/>
      <c r="D235" s="183"/>
      <c r="E235" s="152"/>
      <c r="F235" s="151"/>
      <c r="G235" s="151"/>
      <c r="H235" s="151"/>
      <c r="I235" s="151"/>
      <c r="J235" s="152"/>
      <c r="K235" s="152"/>
      <c r="L235" s="152"/>
      <c r="M235" s="152"/>
      <c r="N235" s="150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</row>
    <row r="236" customFormat="false" ht="11.25" hidden="false" customHeight="true" outlineLevel="0" collapsed="false">
      <c r="A236" s="89"/>
      <c r="B236" s="89"/>
      <c r="C236" s="89"/>
      <c r="D236" s="183"/>
      <c r="E236" s="152"/>
      <c r="F236" s="151"/>
      <c r="G236" s="151"/>
      <c r="H236" s="151"/>
      <c r="I236" s="151"/>
      <c r="J236" s="152"/>
      <c r="K236" s="152"/>
      <c r="L236" s="152"/>
      <c r="M236" s="152"/>
      <c r="N236" s="150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</row>
    <row r="237" customFormat="false" ht="11.25" hidden="false" customHeight="true" outlineLevel="0" collapsed="false">
      <c r="A237" s="89"/>
      <c r="B237" s="89"/>
      <c r="C237" s="89"/>
      <c r="D237" s="183"/>
      <c r="E237" s="152"/>
      <c r="F237" s="151"/>
      <c r="G237" s="151"/>
      <c r="H237" s="151"/>
      <c r="I237" s="151"/>
      <c r="J237" s="152"/>
      <c r="K237" s="152"/>
      <c r="L237" s="152"/>
      <c r="M237" s="152"/>
      <c r="N237" s="150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</row>
    <row r="238" customFormat="false" ht="11.25" hidden="false" customHeight="true" outlineLevel="0" collapsed="false">
      <c r="A238" s="89"/>
      <c r="B238" s="89"/>
      <c r="C238" s="89"/>
      <c r="D238" s="183"/>
      <c r="E238" s="152"/>
      <c r="F238" s="151"/>
      <c r="G238" s="151"/>
      <c r="H238" s="151"/>
      <c r="I238" s="151"/>
      <c r="J238" s="152"/>
      <c r="K238" s="152"/>
      <c r="L238" s="152"/>
      <c r="M238" s="152"/>
      <c r="N238" s="150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</row>
    <row r="239" customFormat="false" ht="11.25" hidden="false" customHeight="true" outlineLevel="0" collapsed="false">
      <c r="A239" s="89"/>
      <c r="B239" s="89"/>
      <c r="C239" s="89"/>
      <c r="D239" s="183"/>
      <c r="E239" s="152"/>
      <c r="F239" s="151"/>
      <c r="G239" s="151"/>
      <c r="H239" s="151"/>
      <c r="I239" s="151"/>
      <c r="J239" s="152"/>
      <c r="K239" s="152"/>
      <c r="L239" s="152"/>
      <c r="M239" s="152"/>
      <c r="N239" s="150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</row>
    <row r="240" customFormat="false" ht="11.25" hidden="false" customHeight="true" outlineLevel="0" collapsed="false">
      <c r="A240" s="89"/>
      <c r="B240" s="89"/>
      <c r="C240" s="89"/>
      <c r="D240" s="183"/>
      <c r="E240" s="152"/>
      <c r="F240" s="151"/>
      <c r="G240" s="151"/>
      <c r="H240" s="151"/>
      <c r="I240" s="151"/>
      <c r="J240" s="152"/>
      <c r="K240" s="152"/>
      <c r="L240" s="152"/>
      <c r="M240" s="152"/>
      <c r="N240" s="150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</row>
    <row r="241" customFormat="false" ht="11.25" hidden="false" customHeight="true" outlineLevel="0" collapsed="false">
      <c r="A241" s="89"/>
      <c r="B241" s="89"/>
      <c r="C241" s="89"/>
      <c r="D241" s="183"/>
      <c r="E241" s="152"/>
      <c r="F241" s="151"/>
      <c r="G241" s="151"/>
      <c r="H241" s="151"/>
      <c r="I241" s="151"/>
      <c r="J241" s="152"/>
      <c r="K241" s="152"/>
      <c r="L241" s="152"/>
      <c r="M241" s="152"/>
      <c r="N241" s="150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</row>
    <row r="242" customFormat="false" ht="11.25" hidden="false" customHeight="true" outlineLevel="0" collapsed="false">
      <c r="A242" s="89"/>
      <c r="B242" s="89"/>
      <c r="C242" s="89"/>
      <c r="D242" s="183"/>
      <c r="E242" s="152"/>
      <c r="F242" s="151"/>
      <c r="G242" s="151"/>
      <c r="H242" s="151"/>
      <c r="I242" s="151"/>
      <c r="J242" s="152"/>
      <c r="K242" s="152"/>
      <c r="L242" s="152"/>
      <c r="M242" s="152"/>
      <c r="N242" s="150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</row>
    <row r="243" customFormat="false" ht="11.25" hidden="false" customHeight="true" outlineLevel="0" collapsed="false">
      <c r="A243" s="89"/>
      <c r="B243" s="89"/>
      <c r="C243" s="89"/>
      <c r="D243" s="183"/>
      <c r="E243" s="152"/>
      <c r="F243" s="151"/>
      <c r="G243" s="151"/>
      <c r="H243" s="151"/>
      <c r="I243" s="151"/>
      <c r="J243" s="152"/>
      <c r="K243" s="152"/>
      <c r="L243" s="152"/>
      <c r="M243" s="152"/>
      <c r="N243" s="150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</row>
    <row r="244" customFormat="false" ht="11.25" hidden="false" customHeight="true" outlineLevel="0" collapsed="false">
      <c r="A244" s="89"/>
      <c r="B244" s="89"/>
      <c r="C244" s="89"/>
      <c r="D244" s="183"/>
      <c r="E244" s="152"/>
      <c r="F244" s="151"/>
      <c r="G244" s="151"/>
      <c r="H244" s="151"/>
      <c r="I244" s="151"/>
      <c r="J244" s="152"/>
      <c r="K244" s="152"/>
      <c r="L244" s="152"/>
      <c r="M244" s="152"/>
      <c r="N244" s="150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</row>
    <row r="245" customFormat="false" ht="11.25" hidden="false" customHeight="true" outlineLevel="0" collapsed="false">
      <c r="A245" s="89"/>
      <c r="B245" s="89"/>
      <c r="C245" s="89"/>
      <c r="D245" s="183"/>
      <c r="E245" s="152"/>
      <c r="F245" s="151"/>
      <c r="G245" s="151"/>
      <c r="H245" s="151"/>
      <c r="I245" s="151"/>
      <c r="J245" s="152"/>
      <c r="K245" s="152"/>
      <c r="L245" s="152"/>
      <c r="M245" s="152"/>
      <c r="N245" s="150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</row>
    <row r="246" customFormat="false" ht="11.25" hidden="false" customHeight="true" outlineLevel="0" collapsed="false">
      <c r="A246" s="89"/>
      <c r="B246" s="89"/>
      <c r="C246" s="89"/>
      <c r="D246" s="183"/>
      <c r="E246" s="152"/>
      <c r="F246" s="151"/>
      <c r="G246" s="151"/>
      <c r="H246" s="151"/>
      <c r="I246" s="151"/>
      <c r="J246" s="152"/>
      <c r="K246" s="152"/>
      <c r="L246" s="152"/>
      <c r="M246" s="152"/>
      <c r="N246" s="150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</row>
    <row r="247" customFormat="false" ht="11.25" hidden="false" customHeight="true" outlineLevel="0" collapsed="false">
      <c r="A247" s="89"/>
      <c r="B247" s="89"/>
      <c r="C247" s="89"/>
      <c r="D247" s="183"/>
      <c r="E247" s="152"/>
      <c r="F247" s="151"/>
      <c r="G247" s="151"/>
      <c r="H247" s="151"/>
      <c r="I247" s="151"/>
      <c r="J247" s="152"/>
      <c r="K247" s="152"/>
      <c r="L247" s="152"/>
      <c r="M247" s="152"/>
      <c r="N247" s="150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</row>
    <row r="248" customFormat="false" ht="11.25" hidden="false" customHeight="true" outlineLevel="0" collapsed="false">
      <c r="A248" s="89"/>
      <c r="B248" s="89"/>
      <c r="C248" s="89"/>
      <c r="D248" s="183"/>
      <c r="E248" s="152"/>
      <c r="F248" s="151"/>
      <c r="G248" s="151"/>
      <c r="H248" s="151"/>
      <c r="I248" s="151"/>
      <c r="J248" s="152"/>
      <c r="K248" s="152"/>
      <c r="L248" s="152"/>
      <c r="M248" s="152"/>
      <c r="N248" s="150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</row>
    <row r="249" customFormat="false" ht="11.25" hidden="false" customHeight="true" outlineLevel="0" collapsed="false">
      <c r="A249" s="89"/>
      <c r="B249" s="89"/>
      <c r="C249" s="89"/>
      <c r="D249" s="183"/>
      <c r="E249" s="152"/>
      <c r="F249" s="151"/>
      <c r="G249" s="151"/>
      <c r="H249" s="151"/>
      <c r="I249" s="151"/>
      <c r="J249" s="152"/>
      <c r="K249" s="152"/>
      <c r="L249" s="152"/>
      <c r="M249" s="152"/>
      <c r="N249" s="150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</row>
    <row r="250" customFormat="false" ht="11.25" hidden="false" customHeight="true" outlineLevel="0" collapsed="false">
      <c r="A250" s="89"/>
      <c r="B250" s="89"/>
      <c r="C250" s="89"/>
      <c r="D250" s="183"/>
      <c r="E250" s="152"/>
      <c r="F250" s="151"/>
      <c r="G250" s="151"/>
      <c r="H250" s="151"/>
      <c r="I250" s="151"/>
      <c r="J250" s="152"/>
      <c r="K250" s="152"/>
      <c r="L250" s="152"/>
      <c r="M250" s="152"/>
      <c r="N250" s="150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</row>
    <row r="251" customFormat="false" ht="11.25" hidden="false" customHeight="true" outlineLevel="0" collapsed="false">
      <c r="A251" s="89"/>
      <c r="B251" s="89"/>
      <c r="C251" s="89"/>
      <c r="D251" s="183"/>
      <c r="E251" s="152"/>
      <c r="F251" s="151"/>
      <c r="G251" s="151"/>
      <c r="H251" s="151"/>
      <c r="I251" s="151"/>
      <c r="J251" s="152"/>
      <c r="K251" s="152"/>
      <c r="L251" s="152"/>
      <c r="M251" s="152"/>
      <c r="N251" s="150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</row>
    <row r="252" customFormat="false" ht="11.25" hidden="false" customHeight="true" outlineLevel="0" collapsed="false">
      <c r="A252" s="89"/>
      <c r="B252" s="89"/>
      <c r="C252" s="89"/>
      <c r="D252" s="183"/>
      <c r="E252" s="152"/>
      <c r="F252" s="151"/>
      <c r="G252" s="151"/>
      <c r="H252" s="151"/>
      <c r="I252" s="151"/>
      <c r="J252" s="152"/>
      <c r="K252" s="152"/>
      <c r="L252" s="152"/>
      <c r="M252" s="152"/>
      <c r="N252" s="150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</row>
    <row r="253" customFormat="false" ht="11.25" hidden="false" customHeight="true" outlineLevel="0" collapsed="false">
      <c r="A253" s="89"/>
      <c r="B253" s="89"/>
      <c r="C253" s="89"/>
      <c r="D253" s="183"/>
      <c r="E253" s="152"/>
      <c r="F253" s="151"/>
      <c r="G253" s="151"/>
      <c r="H253" s="151"/>
      <c r="I253" s="151"/>
      <c r="J253" s="152"/>
      <c r="K253" s="152"/>
      <c r="L253" s="152"/>
      <c r="M253" s="152"/>
      <c r="N253" s="150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</row>
    <row r="254" customFormat="false" ht="11.25" hidden="false" customHeight="true" outlineLevel="0" collapsed="false">
      <c r="A254" s="89"/>
      <c r="B254" s="89"/>
      <c r="C254" s="89"/>
      <c r="D254" s="183"/>
      <c r="E254" s="152"/>
      <c r="F254" s="151"/>
      <c r="G254" s="151"/>
      <c r="H254" s="151"/>
      <c r="I254" s="151"/>
      <c r="J254" s="152"/>
      <c r="K254" s="152"/>
      <c r="L254" s="152"/>
      <c r="M254" s="152"/>
      <c r="N254" s="150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</row>
    <row r="255" customFormat="false" ht="11.25" hidden="false" customHeight="true" outlineLevel="0" collapsed="false">
      <c r="A255" s="89"/>
      <c r="B255" s="89"/>
      <c r="C255" s="89"/>
      <c r="D255" s="183"/>
      <c r="E255" s="152"/>
      <c r="F255" s="151"/>
      <c r="G255" s="151"/>
      <c r="H255" s="151"/>
      <c r="I255" s="151"/>
      <c r="J255" s="152"/>
      <c r="K255" s="152"/>
      <c r="L255" s="152"/>
      <c r="M255" s="152"/>
      <c r="N255" s="150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</row>
    <row r="256" customFormat="false" ht="11.25" hidden="false" customHeight="true" outlineLevel="0" collapsed="false">
      <c r="A256" s="89"/>
      <c r="B256" s="89"/>
      <c r="C256" s="89"/>
      <c r="D256" s="183"/>
      <c r="E256" s="152"/>
      <c r="F256" s="151"/>
      <c r="G256" s="151"/>
      <c r="H256" s="151"/>
      <c r="I256" s="151"/>
      <c r="J256" s="152"/>
      <c r="K256" s="152"/>
      <c r="L256" s="152"/>
      <c r="M256" s="152"/>
      <c r="N256" s="150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</row>
    <row r="257" customFormat="false" ht="11.25" hidden="false" customHeight="true" outlineLevel="0" collapsed="false">
      <c r="A257" s="89"/>
      <c r="B257" s="89"/>
      <c r="C257" s="89"/>
      <c r="D257" s="183"/>
      <c r="E257" s="152"/>
      <c r="F257" s="151"/>
      <c r="G257" s="151"/>
      <c r="H257" s="151"/>
      <c r="I257" s="151"/>
      <c r="J257" s="152"/>
      <c r="K257" s="152"/>
      <c r="L257" s="152"/>
      <c r="M257" s="152"/>
      <c r="N257" s="150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</row>
    <row r="258" customFormat="false" ht="11.25" hidden="false" customHeight="true" outlineLevel="0" collapsed="false">
      <c r="A258" s="89"/>
      <c r="B258" s="89"/>
      <c r="C258" s="89"/>
      <c r="D258" s="183"/>
      <c r="E258" s="152"/>
      <c r="F258" s="151"/>
      <c r="G258" s="151"/>
      <c r="H258" s="151"/>
      <c r="I258" s="151"/>
      <c r="J258" s="152"/>
      <c r="K258" s="152"/>
      <c r="L258" s="152"/>
      <c r="M258" s="152"/>
      <c r="N258" s="150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</row>
    <row r="259" customFormat="false" ht="11.25" hidden="false" customHeight="true" outlineLevel="0" collapsed="false">
      <c r="A259" s="89"/>
      <c r="B259" s="89"/>
      <c r="C259" s="89"/>
      <c r="D259" s="183"/>
      <c r="E259" s="152"/>
      <c r="F259" s="151"/>
      <c r="G259" s="151"/>
      <c r="H259" s="151"/>
      <c r="I259" s="151"/>
      <c r="J259" s="152"/>
      <c r="K259" s="152"/>
      <c r="L259" s="152"/>
      <c r="M259" s="152"/>
      <c r="N259" s="150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</row>
    <row r="260" customFormat="false" ht="11.25" hidden="false" customHeight="true" outlineLevel="0" collapsed="false">
      <c r="A260" s="89"/>
      <c r="B260" s="89"/>
      <c r="C260" s="89"/>
      <c r="D260" s="183"/>
      <c r="E260" s="152"/>
      <c r="F260" s="151"/>
      <c r="G260" s="151"/>
      <c r="H260" s="151"/>
      <c r="I260" s="151"/>
      <c r="J260" s="152"/>
      <c r="K260" s="152"/>
      <c r="L260" s="152"/>
      <c r="M260" s="152"/>
      <c r="N260" s="150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</row>
    <row r="261" customFormat="false" ht="11.25" hidden="false" customHeight="true" outlineLevel="0" collapsed="false">
      <c r="A261" s="89"/>
      <c r="B261" s="89"/>
      <c r="C261" s="89"/>
      <c r="D261" s="183"/>
      <c r="E261" s="152"/>
      <c r="F261" s="151"/>
      <c r="G261" s="151"/>
      <c r="H261" s="151"/>
      <c r="I261" s="151"/>
      <c r="J261" s="152"/>
      <c r="K261" s="152"/>
      <c r="L261" s="152"/>
      <c r="M261" s="152"/>
      <c r="N261" s="150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</row>
    <row r="262" customFormat="false" ht="11.25" hidden="false" customHeight="true" outlineLevel="0" collapsed="false">
      <c r="A262" s="89"/>
      <c r="B262" s="89"/>
      <c r="C262" s="89"/>
      <c r="D262" s="183"/>
      <c r="E262" s="152"/>
      <c r="F262" s="151"/>
      <c r="G262" s="151"/>
      <c r="H262" s="151"/>
      <c r="I262" s="151"/>
      <c r="J262" s="152"/>
      <c r="K262" s="152"/>
      <c r="L262" s="152"/>
      <c r="M262" s="152"/>
      <c r="N262" s="150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</row>
    <row r="263" customFormat="false" ht="11.25" hidden="false" customHeight="true" outlineLevel="0" collapsed="false">
      <c r="A263" s="89"/>
      <c r="B263" s="89"/>
      <c r="C263" s="89"/>
      <c r="D263" s="183"/>
      <c r="E263" s="152"/>
      <c r="F263" s="151"/>
      <c r="G263" s="151"/>
      <c r="H263" s="151"/>
      <c r="I263" s="151"/>
      <c r="J263" s="152"/>
      <c r="K263" s="152"/>
      <c r="L263" s="152"/>
      <c r="M263" s="152"/>
      <c r="N263" s="150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</row>
    <row r="264" customFormat="false" ht="11.25" hidden="false" customHeight="true" outlineLevel="0" collapsed="false">
      <c r="A264" s="89"/>
      <c r="B264" s="89"/>
      <c r="C264" s="89"/>
      <c r="D264" s="183"/>
      <c r="E264" s="152"/>
      <c r="F264" s="151"/>
      <c r="G264" s="151"/>
      <c r="H264" s="151"/>
      <c r="I264" s="151"/>
      <c r="J264" s="152"/>
      <c r="K264" s="152"/>
      <c r="L264" s="152"/>
      <c r="M264" s="152"/>
      <c r="N264" s="150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</row>
    <row r="265" customFormat="false" ht="11.25" hidden="false" customHeight="true" outlineLevel="0" collapsed="false">
      <c r="A265" s="89"/>
      <c r="B265" s="89"/>
      <c r="C265" s="89"/>
      <c r="D265" s="183"/>
      <c r="E265" s="152"/>
      <c r="F265" s="151"/>
      <c r="G265" s="151"/>
      <c r="H265" s="151"/>
      <c r="I265" s="151"/>
      <c r="J265" s="152"/>
      <c r="K265" s="152"/>
      <c r="L265" s="152"/>
      <c r="M265" s="152"/>
      <c r="N265" s="150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</row>
    <row r="266" customFormat="false" ht="11.25" hidden="false" customHeight="true" outlineLevel="0" collapsed="false">
      <c r="A266" s="89"/>
      <c r="B266" s="89"/>
      <c r="C266" s="89"/>
      <c r="D266" s="183"/>
      <c r="E266" s="152"/>
      <c r="F266" s="151"/>
      <c r="G266" s="151"/>
      <c r="H266" s="151"/>
      <c r="I266" s="151"/>
      <c r="J266" s="152"/>
      <c r="K266" s="152"/>
      <c r="L266" s="152"/>
      <c r="M266" s="152"/>
      <c r="N266" s="150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</row>
    <row r="267" customFormat="false" ht="11.25" hidden="false" customHeight="true" outlineLevel="0" collapsed="false">
      <c r="A267" s="89"/>
      <c r="B267" s="89"/>
      <c r="C267" s="89"/>
      <c r="D267" s="183"/>
      <c r="E267" s="152"/>
      <c r="F267" s="151"/>
      <c r="G267" s="151"/>
      <c r="H267" s="151"/>
      <c r="I267" s="151"/>
      <c r="J267" s="152"/>
      <c r="K267" s="152"/>
      <c r="L267" s="152"/>
      <c r="M267" s="152"/>
      <c r="N267" s="150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</row>
    <row r="268" customFormat="false" ht="11.25" hidden="false" customHeight="true" outlineLevel="0" collapsed="false">
      <c r="A268" s="89"/>
      <c r="B268" s="89"/>
      <c r="C268" s="89"/>
      <c r="D268" s="183"/>
      <c r="E268" s="152"/>
      <c r="F268" s="151"/>
      <c r="G268" s="151"/>
      <c r="H268" s="151"/>
      <c r="I268" s="151"/>
      <c r="J268" s="152"/>
      <c r="K268" s="152"/>
      <c r="L268" s="152"/>
      <c r="M268" s="152"/>
      <c r="N268" s="150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</row>
    <row r="269" customFormat="false" ht="11.25" hidden="false" customHeight="true" outlineLevel="0" collapsed="false">
      <c r="A269" s="89"/>
      <c r="B269" s="89"/>
      <c r="C269" s="89"/>
      <c r="D269" s="183"/>
      <c r="E269" s="152"/>
      <c r="F269" s="151"/>
      <c r="G269" s="151"/>
      <c r="H269" s="151"/>
      <c r="I269" s="151"/>
      <c r="J269" s="152"/>
      <c r="K269" s="152"/>
      <c r="L269" s="152"/>
      <c r="M269" s="152"/>
      <c r="N269" s="150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</row>
    <row r="270" customFormat="false" ht="11.25" hidden="false" customHeight="true" outlineLevel="0" collapsed="false">
      <c r="A270" s="89"/>
      <c r="B270" s="89"/>
      <c r="C270" s="89"/>
      <c r="D270" s="183"/>
      <c r="E270" s="152"/>
      <c r="F270" s="151"/>
      <c r="G270" s="151"/>
      <c r="H270" s="151"/>
      <c r="I270" s="151"/>
      <c r="J270" s="152"/>
      <c r="K270" s="152"/>
      <c r="L270" s="152"/>
      <c r="M270" s="152"/>
      <c r="N270" s="150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</row>
    <row r="271" customFormat="false" ht="11.25" hidden="false" customHeight="true" outlineLevel="0" collapsed="false">
      <c r="A271" s="89"/>
      <c r="B271" s="89"/>
      <c r="C271" s="89"/>
      <c r="D271" s="183"/>
      <c r="E271" s="152"/>
      <c r="F271" s="151"/>
      <c r="G271" s="151"/>
      <c r="H271" s="151"/>
      <c r="I271" s="151"/>
      <c r="J271" s="152"/>
      <c r="K271" s="152"/>
      <c r="L271" s="152"/>
      <c r="M271" s="152"/>
      <c r="N271" s="150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</row>
    <row r="272" customFormat="false" ht="11.25" hidden="false" customHeight="true" outlineLevel="0" collapsed="false">
      <c r="A272" s="89"/>
      <c r="B272" s="89"/>
      <c r="C272" s="89"/>
      <c r="D272" s="183"/>
      <c r="E272" s="152"/>
      <c r="F272" s="151"/>
      <c r="G272" s="151"/>
      <c r="H272" s="151"/>
      <c r="I272" s="151"/>
      <c r="J272" s="152"/>
      <c r="K272" s="152"/>
      <c r="L272" s="152"/>
      <c r="M272" s="152"/>
      <c r="N272" s="150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</row>
    <row r="273" customFormat="false" ht="11.25" hidden="false" customHeight="true" outlineLevel="0" collapsed="false">
      <c r="A273" s="89"/>
      <c r="B273" s="89"/>
      <c r="C273" s="89"/>
      <c r="D273" s="183"/>
      <c r="E273" s="152"/>
      <c r="F273" s="151"/>
      <c r="G273" s="151"/>
      <c r="H273" s="151"/>
      <c r="I273" s="151"/>
      <c r="J273" s="152"/>
      <c r="K273" s="152"/>
      <c r="L273" s="152"/>
      <c r="M273" s="152"/>
      <c r="N273" s="150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</row>
    <row r="274" customFormat="false" ht="11.25" hidden="false" customHeight="true" outlineLevel="0" collapsed="false">
      <c r="A274" s="89"/>
      <c r="B274" s="89"/>
      <c r="C274" s="89"/>
      <c r="D274" s="183"/>
      <c r="E274" s="152"/>
      <c r="F274" s="151"/>
      <c r="G274" s="151"/>
      <c r="H274" s="151"/>
      <c r="I274" s="151"/>
      <c r="J274" s="152"/>
      <c r="K274" s="152"/>
      <c r="L274" s="152"/>
      <c r="M274" s="152"/>
      <c r="N274" s="150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</row>
    <row r="275" customFormat="false" ht="11.25" hidden="false" customHeight="true" outlineLevel="0" collapsed="false">
      <c r="A275" s="89"/>
      <c r="B275" s="89"/>
      <c r="C275" s="89"/>
      <c r="D275" s="183"/>
      <c r="E275" s="152"/>
      <c r="F275" s="151"/>
      <c r="G275" s="151"/>
      <c r="H275" s="151"/>
      <c r="I275" s="151"/>
      <c r="J275" s="152"/>
      <c r="K275" s="152"/>
      <c r="L275" s="152"/>
      <c r="M275" s="152"/>
      <c r="N275" s="150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</row>
    <row r="276" customFormat="false" ht="11.25" hidden="false" customHeight="true" outlineLevel="0" collapsed="false">
      <c r="A276" s="89"/>
      <c r="B276" s="89"/>
      <c r="C276" s="89"/>
      <c r="D276" s="183"/>
      <c r="E276" s="152"/>
      <c r="F276" s="151"/>
      <c r="G276" s="151"/>
      <c r="H276" s="151"/>
      <c r="I276" s="151"/>
      <c r="J276" s="152"/>
      <c r="K276" s="152"/>
      <c r="L276" s="152"/>
      <c r="M276" s="152"/>
      <c r="N276" s="150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</row>
    <row r="277" customFormat="false" ht="11.25" hidden="false" customHeight="true" outlineLevel="0" collapsed="false">
      <c r="A277" s="89"/>
      <c r="B277" s="89"/>
      <c r="C277" s="89"/>
      <c r="D277" s="183"/>
      <c r="E277" s="152"/>
      <c r="F277" s="151"/>
      <c r="G277" s="151"/>
      <c r="H277" s="151"/>
      <c r="I277" s="151"/>
      <c r="J277" s="152"/>
      <c r="K277" s="152"/>
      <c r="L277" s="152"/>
      <c r="M277" s="152"/>
      <c r="N277" s="150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</row>
    <row r="278" customFormat="false" ht="11.25" hidden="false" customHeight="true" outlineLevel="0" collapsed="false">
      <c r="A278" s="89"/>
      <c r="B278" s="89"/>
      <c r="C278" s="89"/>
      <c r="D278" s="183"/>
      <c r="E278" s="152"/>
      <c r="F278" s="151"/>
      <c r="G278" s="151"/>
      <c r="H278" s="151"/>
      <c r="I278" s="151"/>
      <c r="J278" s="152"/>
      <c r="K278" s="152"/>
      <c r="L278" s="152"/>
      <c r="M278" s="152"/>
      <c r="N278" s="150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</row>
    <row r="279" customFormat="false" ht="11.25" hidden="false" customHeight="true" outlineLevel="0" collapsed="false">
      <c r="A279" s="89"/>
      <c r="B279" s="89"/>
      <c r="C279" s="89"/>
      <c r="D279" s="183"/>
      <c r="E279" s="152"/>
      <c r="F279" s="151"/>
      <c r="G279" s="151"/>
      <c r="H279" s="151"/>
      <c r="I279" s="151"/>
      <c r="J279" s="152"/>
      <c r="K279" s="152"/>
      <c r="L279" s="152"/>
      <c r="M279" s="152"/>
      <c r="N279" s="150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</row>
    <row r="280" customFormat="false" ht="11.25" hidden="false" customHeight="true" outlineLevel="0" collapsed="false">
      <c r="A280" s="89"/>
      <c r="B280" s="89"/>
      <c r="C280" s="89"/>
      <c r="D280" s="183"/>
      <c r="E280" s="152"/>
      <c r="F280" s="151"/>
      <c r="G280" s="151"/>
      <c r="H280" s="151"/>
      <c r="I280" s="151"/>
      <c r="J280" s="152"/>
      <c r="K280" s="152"/>
      <c r="L280" s="152"/>
      <c r="M280" s="152"/>
      <c r="N280" s="150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</row>
    <row r="281" customFormat="false" ht="11.25" hidden="false" customHeight="true" outlineLevel="0" collapsed="false">
      <c r="A281" s="89"/>
      <c r="B281" s="89"/>
      <c r="C281" s="89"/>
      <c r="D281" s="183"/>
      <c r="E281" s="152"/>
      <c r="F281" s="151"/>
      <c r="G281" s="151"/>
      <c r="H281" s="151"/>
      <c r="I281" s="151"/>
      <c r="J281" s="152"/>
      <c r="K281" s="152"/>
      <c r="L281" s="152"/>
      <c r="M281" s="152"/>
      <c r="N281" s="150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</row>
    <row r="282" customFormat="false" ht="11.25" hidden="false" customHeight="true" outlineLevel="0" collapsed="false">
      <c r="A282" s="89"/>
      <c r="B282" s="89"/>
      <c r="C282" s="89"/>
      <c r="D282" s="183"/>
      <c r="E282" s="152"/>
      <c r="F282" s="151"/>
      <c r="G282" s="151"/>
      <c r="H282" s="151"/>
      <c r="I282" s="151"/>
      <c r="J282" s="152"/>
      <c r="K282" s="152"/>
      <c r="L282" s="152"/>
      <c r="M282" s="152"/>
      <c r="N282" s="150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</row>
    <row r="283" customFormat="false" ht="11.25" hidden="false" customHeight="true" outlineLevel="0" collapsed="false">
      <c r="A283" s="89"/>
      <c r="B283" s="89"/>
      <c r="C283" s="89"/>
      <c r="D283" s="183"/>
      <c r="E283" s="152"/>
      <c r="F283" s="151"/>
      <c r="G283" s="151"/>
      <c r="H283" s="151"/>
      <c r="I283" s="151"/>
      <c r="J283" s="152"/>
      <c r="K283" s="152"/>
      <c r="L283" s="152"/>
      <c r="M283" s="152"/>
      <c r="N283" s="150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</row>
    <row r="284" customFormat="false" ht="11.25" hidden="false" customHeight="true" outlineLevel="0" collapsed="false">
      <c r="A284" s="89"/>
      <c r="B284" s="89"/>
      <c r="C284" s="89"/>
      <c r="D284" s="183"/>
      <c r="E284" s="152"/>
      <c r="F284" s="151"/>
      <c r="G284" s="151"/>
      <c r="H284" s="151"/>
      <c r="I284" s="151"/>
      <c r="J284" s="152"/>
      <c r="K284" s="152"/>
      <c r="L284" s="152"/>
      <c r="M284" s="152"/>
      <c r="N284" s="150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</row>
    <row r="285" customFormat="false" ht="11.25" hidden="false" customHeight="true" outlineLevel="0" collapsed="false">
      <c r="A285" s="89"/>
      <c r="B285" s="89"/>
      <c r="C285" s="89"/>
      <c r="D285" s="183"/>
      <c r="E285" s="152"/>
      <c r="F285" s="151"/>
      <c r="G285" s="151"/>
      <c r="H285" s="151"/>
      <c r="I285" s="151"/>
      <c r="J285" s="152"/>
      <c r="K285" s="152"/>
      <c r="L285" s="152"/>
      <c r="M285" s="152"/>
      <c r="N285" s="150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</row>
    <row r="286" customFormat="false" ht="11.25" hidden="false" customHeight="true" outlineLevel="0" collapsed="false">
      <c r="A286" s="89"/>
      <c r="B286" s="89"/>
      <c r="C286" s="89"/>
      <c r="D286" s="183"/>
      <c r="E286" s="152"/>
      <c r="F286" s="151"/>
      <c r="G286" s="151"/>
      <c r="H286" s="151"/>
      <c r="I286" s="151"/>
      <c r="J286" s="152"/>
      <c r="K286" s="152"/>
      <c r="L286" s="152"/>
      <c r="M286" s="152"/>
      <c r="N286" s="150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</row>
    <row r="287" customFormat="false" ht="11.25" hidden="false" customHeight="true" outlineLevel="0" collapsed="false">
      <c r="A287" s="89"/>
      <c r="B287" s="89"/>
      <c r="C287" s="89"/>
      <c r="D287" s="183"/>
      <c r="E287" s="152"/>
      <c r="F287" s="151"/>
      <c r="G287" s="151"/>
      <c r="H287" s="151"/>
      <c r="I287" s="151"/>
      <c r="J287" s="152"/>
      <c r="K287" s="152"/>
      <c r="L287" s="152"/>
      <c r="M287" s="152"/>
      <c r="N287" s="150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</row>
    <row r="288" customFormat="false" ht="11.25" hidden="false" customHeight="true" outlineLevel="0" collapsed="false">
      <c r="A288" s="89"/>
      <c r="B288" s="89"/>
      <c r="C288" s="89"/>
      <c r="D288" s="183"/>
      <c r="E288" s="152"/>
      <c r="F288" s="151"/>
      <c r="G288" s="151"/>
      <c r="H288" s="151"/>
      <c r="I288" s="151"/>
      <c r="J288" s="152"/>
      <c r="K288" s="152"/>
      <c r="L288" s="152"/>
      <c r="M288" s="152"/>
      <c r="N288" s="150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</row>
    <row r="289" customFormat="false" ht="11.25" hidden="false" customHeight="true" outlineLevel="0" collapsed="false">
      <c r="A289" s="89"/>
      <c r="B289" s="89"/>
      <c r="C289" s="89"/>
      <c r="D289" s="183"/>
      <c r="E289" s="152"/>
      <c r="F289" s="151"/>
      <c r="G289" s="151"/>
      <c r="H289" s="151"/>
      <c r="I289" s="151"/>
      <c r="J289" s="152"/>
      <c r="K289" s="152"/>
      <c r="L289" s="152"/>
      <c r="M289" s="152"/>
      <c r="N289" s="150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</row>
    <row r="290" customFormat="false" ht="11.25" hidden="false" customHeight="true" outlineLevel="0" collapsed="false">
      <c r="A290" s="89"/>
      <c r="B290" s="89"/>
      <c r="C290" s="89"/>
      <c r="D290" s="183"/>
      <c r="E290" s="152"/>
      <c r="F290" s="151"/>
      <c r="G290" s="151"/>
      <c r="H290" s="151"/>
      <c r="I290" s="151"/>
      <c r="J290" s="152"/>
      <c r="K290" s="152"/>
      <c r="L290" s="152"/>
      <c r="M290" s="152"/>
      <c r="N290" s="150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</row>
    <row r="291" customFormat="false" ht="11.25" hidden="false" customHeight="true" outlineLevel="0" collapsed="false">
      <c r="A291" s="89"/>
      <c r="B291" s="89"/>
      <c r="C291" s="89"/>
      <c r="D291" s="183"/>
      <c r="E291" s="152"/>
      <c r="F291" s="151"/>
      <c r="G291" s="151"/>
      <c r="H291" s="151"/>
      <c r="I291" s="151"/>
      <c r="J291" s="152"/>
      <c r="K291" s="152"/>
      <c r="L291" s="152"/>
      <c r="M291" s="152"/>
      <c r="N291" s="150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</row>
    <row r="292" customFormat="false" ht="11.25" hidden="false" customHeight="true" outlineLevel="0" collapsed="false">
      <c r="A292" s="89"/>
      <c r="B292" s="89"/>
      <c r="C292" s="89"/>
      <c r="D292" s="183"/>
      <c r="E292" s="152"/>
      <c r="F292" s="151"/>
      <c r="G292" s="151"/>
      <c r="H292" s="151"/>
      <c r="I292" s="151"/>
      <c r="J292" s="152"/>
      <c r="K292" s="152"/>
      <c r="L292" s="152"/>
      <c r="M292" s="152"/>
      <c r="N292" s="150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</row>
    <row r="293" customFormat="false" ht="11.25" hidden="false" customHeight="true" outlineLevel="0" collapsed="false">
      <c r="A293" s="89"/>
      <c r="B293" s="89"/>
      <c r="C293" s="89"/>
      <c r="D293" s="183"/>
      <c r="E293" s="152"/>
      <c r="F293" s="151"/>
      <c r="G293" s="151"/>
      <c r="H293" s="151"/>
      <c r="I293" s="151"/>
      <c r="J293" s="152"/>
      <c r="K293" s="152"/>
      <c r="L293" s="152"/>
      <c r="M293" s="152"/>
      <c r="N293" s="150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</row>
    <row r="294" customFormat="false" ht="11.25" hidden="false" customHeight="true" outlineLevel="0" collapsed="false">
      <c r="A294" s="89"/>
      <c r="B294" s="89"/>
      <c r="C294" s="89"/>
      <c r="D294" s="183"/>
      <c r="E294" s="152"/>
      <c r="F294" s="151"/>
      <c r="G294" s="151"/>
      <c r="H294" s="151"/>
      <c r="I294" s="151"/>
      <c r="J294" s="152"/>
      <c r="K294" s="152"/>
      <c r="L294" s="152"/>
      <c r="M294" s="152"/>
      <c r="N294" s="150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</row>
    <row r="295" customFormat="false" ht="11.25" hidden="false" customHeight="true" outlineLevel="0" collapsed="false">
      <c r="A295" s="89"/>
      <c r="B295" s="89"/>
      <c r="C295" s="89"/>
      <c r="D295" s="183"/>
      <c r="E295" s="152"/>
      <c r="F295" s="151"/>
      <c r="G295" s="151"/>
      <c r="H295" s="151"/>
      <c r="I295" s="151"/>
      <c r="J295" s="152"/>
      <c r="K295" s="152"/>
      <c r="L295" s="152"/>
      <c r="M295" s="152"/>
      <c r="N295" s="150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</row>
    <row r="296" customFormat="false" ht="11.25" hidden="false" customHeight="true" outlineLevel="0" collapsed="false">
      <c r="A296" s="89"/>
      <c r="B296" s="89"/>
      <c r="C296" s="89"/>
      <c r="D296" s="183"/>
      <c r="E296" s="152"/>
      <c r="F296" s="151"/>
      <c r="G296" s="151"/>
      <c r="H296" s="151"/>
      <c r="I296" s="151"/>
      <c r="J296" s="152"/>
      <c r="K296" s="152"/>
      <c r="L296" s="152"/>
      <c r="M296" s="152"/>
      <c r="N296" s="150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</row>
    <row r="297" customFormat="false" ht="11.25" hidden="false" customHeight="true" outlineLevel="0" collapsed="false">
      <c r="A297" s="89"/>
      <c r="B297" s="89"/>
      <c r="C297" s="89"/>
      <c r="D297" s="183"/>
      <c r="E297" s="152"/>
      <c r="F297" s="151"/>
      <c r="G297" s="151"/>
      <c r="H297" s="151"/>
      <c r="I297" s="151"/>
      <c r="J297" s="152"/>
      <c r="K297" s="152"/>
      <c r="L297" s="152"/>
      <c r="M297" s="152"/>
      <c r="N297" s="150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</row>
    <row r="298" customFormat="false" ht="11.25" hidden="false" customHeight="true" outlineLevel="0" collapsed="false">
      <c r="A298" s="89"/>
      <c r="B298" s="89"/>
      <c r="C298" s="89"/>
      <c r="D298" s="183"/>
      <c r="E298" s="152"/>
      <c r="F298" s="151"/>
      <c r="G298" s="151"/>
      <c r="H298" s="151"/>
      <c r="I298" s="151"/>
      <c r="J298" s="152"/>
      <c r="K298" s="152"/>
      <c r="L298" s="152"/>
      <c r="M298" s="152"/>
      <c r="N298" s="150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</row>
    <row r="299" customFormat="false" ht="11.25" hidden="false" customHeight="true" outlineLevel="0" collapsed="false">
      <c r="A299" s="89"/>
      <c r="B299" s="89"/>
      <c r="C299" s="89"/>
      <c r="D299" s="183"/>
      <c r="E299" s="152"/>
      <c r="F299" s="151"/>
      <c r="G299" s="151"/>
      <c r="H299" s="151"/>
      <c r="I299" s="151"/>
      <c r="J299" s="152"/>
      <c r="K299" s="152"/>
      <c r="L299" s="152"/>
      <c r="M299" s="152"/>
      <c r="N299" s="150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</row>
    <row r="300" customFormat="false" ht="11.25" hidden="false" customHeight="true" outlineLevel="0" collapsed="false">
      <c r="A300" s="89"/>
      <c r="B300" s="89"/>
      <c r="C300" s="89"/>
      <c r="D300" s="183"/>
      <c r="E300" s="152"/>
      <c r="F300" s="151"/>
      <c r="G300" s="151"/>
      <c r="H300" s="151"/>
      <c r="I300" s="151"/>
      <c r="J300" s="152"/>
      <c r="K300" s="152"/>
      <c r="L300" s="152"/>
      <c r="M300" s="152"/>
      <c r="N300" s="150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</row>
    <row r="301" customFormat="false" ht="11.25" hidden="false" customHeight="true" outlineLevel="0" collapsed="false">
      <c r="A301" s="89"/>
      <c r="B301" s="89"/>
      <c r="C301" s="89"/>
      <c r="D301" s="183"/>
      <c r="E301" s="152"/>
      <c r="F301" s="151"/>
      <c r="G301" s="151"/>
      <c r="H301" s="151"/>
      <c r="I301" s="151"/>
      <c r="J301" s="152"/>
      <c r="K301" s="152"/>
      <c r="L301" s="152"/>
      <c r="M301" s="152"/>
      <c r="N301" s="150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</row>
    <row r="302" customFormat="false" ht="11.25" hidden="false" customHeight="true" outlineLevel="0" collapsed="false">
      <c r="A302" s="89"/>
      <c r="B302" s="89"/>
      <c r="C302" s="89"/>
      <c r="D302" s="183"/>
      <c r="E302" s="152"/>
      <c r="F302" s="151"/>
      <c r="G302" s="151"/>
      <c r="H302" s="151"/>
      <c r="I302" s="151"/>
      <c r="J302" s="152"/>
      <c r="K302" s="152"/>
      <c r="L302" s="152"/>
      <c r="M302" s="152"/>
      <c r="N302" s="150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</row>
    <row r="303" customFormat="false" ht="11.25" hidden="false" customHeight="true" outlineLevel="0" collapsed="false">
      <c r="A303" s="89"/>
      <c r="B303" s="89"/>
      <c r="C303" s="89"/>
      <c r="D303" s="183"/>
      <c r="E303" s="152"/>
      <c r="F303" s="151"/>
      <c r="G303" s="151"/>
      <c r="H303" s="151"/>
      <c r="I303" s="151"/>
      <c r="J303" s="152"/>
      <c r="K303" s="152"/>
      <c r="L303" s="152"/>
      <c r="M303" s="152"/>
      <c r="N303" s="150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</row>
    <row r="304" customFormat="false" ht="11.25" hidden="false" customHeight="true" outlineLevel="0" collapsed="false">
      <c r="A304" s="89"/>
      <c r="B304" s="89"/>
      <c r="C304" s="89"/>
      <c r="D304" s="183"/>
      <c r="E304" s="152"/>
      <c r="F304" s="151"/>
      <c r="G304" s="151"/>
      <c r="H304" s="151"/>
      <c r="I304" s="151"/>
      <c r="J304" s="152"/>
      <c r="K304" s="152"/>
      <c r="L304" s="152"/>
      <c r="M304" s="152"/>
      <c r="N304" s="150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</row>
    <row r="305" customFormat="false" ht="11.25" hidden="false" customHeight="true" outlineLevel="0" collapsed="false">
      <c r="A305" s="89"/>
      <c r="B305" s="89"/>
      <c r="C305" s="89"/>
      <c r="D305" s="183"/>
      <c r="E305" s="152"/>
      <c r="F305" s="151"/>
      <c r="G305" s="151"/>
      <c r="H305" s="151"/>
      <c r="I305" s="151"/>
      <c r="J305" s="152"/>
      <c r="K305" s="152"/>
      <c r="L305" s="152"/>
      <c r="M305" s="152"/>
      <c r="N305" s="150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</row>
    <row r="306" customFormat="false" ht="11.25" hidden="false" customHeight="true" outlineLevel="0" collapsed="false">
      <c r="A306" s="89"/>
      <c r="B306" s="89"/>
      <c r="C306" s="89"/>
      <c r="D306" s="183"/>
      <c r="E306" s="152"/>
      <c r="F306" s="151"/>
      <c r="G306" s="151"/>
      <c r="H306" s="151"/>
      <c r="I306" s="151"/>
      <c r="J306" s="152"/>
      <c r="K306" s="152"/>
      <c r="L306" s="152"/>
      <c r="M306" s="152"/>
      <c r="N306" s="150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</row>
    <row r="307" customFormat="false" ht="11.25" hidden="false" customHeight="true" outlineLevel="0" collapsed="false">
      <c r="A307" s="89"/>
      <c r="B307" s="89"/>
      <c r="C307" s="89"/>
      <c r="D307" s="183"/>
      <c r="E307" s="152"/>
      <c r="F307" s="151"/>
      <c r="G307" s="151"/>
      <c r="H307" s="151"/>
      <c r="I307" s="151"/>
      <c r="J307" s="152"/>
      <c r="K307" s="152"/>
      <c r="L307" s="152"/>
      <c r="M307" s="152"/>
      <c r="N307" s="150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</row>
    <row r="308" customFormat="false" ht="11.25" hidden="false" customHeight="true" outlineLevel="0" collapsed="false">
      <c r="A308" s="89"/>
      <c r="B308" s="89"/>
      <c r="C308" s="89"/>
      <c r="D308" s="183"/>
      <c r="E308" s="152"/>
      <c r="F308" s="151"/>
      <c r="G308" s="151"/>
      <c r="H308" s="151"/>
      <c r="I308" s="151"/>
      <c r="J308" s="152"/>
      <c r="K308" s="152"/>
      <c r="L308" s="152"/>
      <c r="M308" s="152"/>
      <c r="N308" s="150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</row>
    <row r="309" customFormat="false" ht="11.25" hidden="false" customHeight="true" outlineLevel="0" collapsed="false">
      <c r="A309" s="89"/>
      <c r="B309" s="89"/>
      <c r="C309" s="89"/>
      <c r="D309" s="183"/>
      <c r="E309" s="152"/>
      <c r="F309" s="151"/>
      <c r="G309" s="151"/>
      <c r="H309" s="151"/>
      <c r="I309" s="151"/>
      <c r="J309" s="152"/>
      <c r="K309" s="152"/>
      <c r="L309" s="152"/>
      <c r="M309" s="152"/>
      <c r="N309" s="150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</row>
    <row r="310" customFormat="false" ht="11.25" hidden="false" customHeight="true" outlineLevel="0" collapsed="false">
      <c r="A310" s="89"/>
      <c r="B310" s="89"/>
      <c r="C310" s="89"/>
      <c r="D310" s="183"/>
      <c r="E310" s="152"/>
      <c r="F310" s="151"/>
      <c r="G310" s="151"/>
      <c r="H310" s="151"/>
      <c r="I310" s="151"/>
      <c r="J310" s="152"/>
      <c r="K310" s="152"/>
      <c r="L310" s="152"/>
      <c r="M310" s="152"/>
      <c r="N310" s="150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</row>
    <row r="311" customFormat="false" ht="11.25" hidden="false" customHeight="true" outlineLevel="0" collapsed="false">
      <c r="A311" s="89"/>
      <c r="B311" s="89"/>
      <c r="C311" s="89"/>
      <c r="D311" s="183"/>
      <c r="E311" s="152"/>
      <c r="F311" s="151"/>
      <c r="G311" s="151"/>
      <c r="H311" s="151"/>
      <c r="I311" s="151"/>
      <c r="J311" s="152"/>
      <c r="K311" s="152"/>
      <c r="L311" s="152"/>
      <c r="M311" s="152"/>
      <c r="N311" s="150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</row>
    <row r="312" customFormat="false" ht="11.25" hidden="false" customHeight="true" outlineLevel="0" collapsed="false">
      <c r="A312" s="89"/>
      <c r="B312" s="89"/>
      <c r="C312" s="89"/>
      <c r="D312" s="183"/>
      <c r="E312" s="152"/>
      <c r="F312" s="151"/>
      <c r="G312" s="151"/>
      <c r="H312" s="151"/>
      <c r="I312" s="151"/>
      <c r="J312" s="152"/>
      <c r="K312" s="152"/>
      <c r="L312" s="152"/>
      <c r="M312" s="152"/>
      <c r="N312" s="150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</row>
    <row r="313" customFormat="false" ht="11.25" hidden="false" customHeight="true" outlineLevel="0" collapsed="false">
      <c r="A313" s="89"/>
      <c r="B313" s="89"/>
      <c r="C313" s="89"/>
      <c r="D313" s="183"/>
      <c r="E313" s="152"/>
      <c r="F313" s="151"/>
      <c r="G313" s="151"/>
      <c r="H313" s="151"/>
      <c r="I313" s="151"/>
      <c r="J313" s="152"/>
      <c r="K313" s="152"/>
      <c r="L313" s="152"/>
      <c r="M313" s="152"/>
      <c r="N313" s="150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</row>
    <row r="314" customFormat="false" ht="11.25" hidden="false" customHeight="true" outlineLevel="0" collapsed="false">
      <c r="A314" s="89"/>
      <c r="B314" s="89"/>
      <c r="C314" s="89"/>
      <c r="D314" s="183"/>
      <c r="E314" s="152"/>
      <c r="F314" s="151"/>
      <c r="G314" s="151"/>
      <c r="H314" s="151"/>
      <c r="I314" s="151"/>
      <c r="J314" s="152"/>
      <c r="K314" s="152"/>
      <c r="L314" s="152"/>
      <c r="M314" s="152"/>
      <c r="N314" s="150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</row>
    <row r="315" customFormat="false" ht="11.25" hidden="false" customHeight="true" outlineLevel="0" collapsed="false">
      <c r="A315" s="89"/>
      <c r="B315" s="89"/>
      <c r="C315" s="89"/>
      <c r="D315" s="183"/>
      <c r="E315" s="152"/>
      <c r="F315" s="151"/>
      <c r="G315" s="151"/>
      <c r="H315" s="151"/>
      <c r="I315" s="151"/>
      <c r="J315" s="152"/>
      <c r="K315" s="152"/>
      <c r="L315" s="152"/>
      <c r="M315" s="152"/>
      <c r="N315" s="150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</row>
    <row r="316" customFormat="false" ht="11.25" hidden="false" customHeight="true" outlineLevel="0" collapsed="false">
      <c r="A316" s="89"/>
      <c r="B316" s="89"/>
      <c r="C316" s="89"/>
      <c r="D316" s="183"/>
      <c r="E316" s="152"/>
      <c r="F316" s="151"/>
      <c r="G316" s="151"/>
      <c r="H316" s="151"/>
      <c r="I316" s="151"/>
      <c r="J316" s="152"/>
      <c r="K316" s="152"/>
      <c r="L316" s="152"/>
      <c r="M316" s="152"/>
      <c r="N316" s="150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</row>
    <row r="317" customFormat="false" ht="11.25" hidden="false" customHeight="true" outlineLevel="0" collapsed="false">
      <c r="A317" s="89"/>
      <c r="B317" s="89"/>
      <c r="C317" s="89"/>
      <c r="D317" s="183"/>
      <c r="E317" s="152"/>
      <c r="F317" s="151"/>
      <c r="G317" s="151"/>
      <c r="H317" s="151"/>
      <c r="I317" s="151"/>
      <c r="J317" s="152"/>
      <c r="K317" s="152"/>
      <c r="L317" s="152"/>
      <c r="M317" s="152"/>
      <c r="N317" s="150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</row>
    <row r="318" customFormat="false" ht="11.25" hidden="false" customHeight="true" outlineLevel="0" collapsed="false">
      <c r="A318" s="89"/>
      <c r="B318" s="89"/>
      <c r="C318" s="89"/>
      <c r="D318" s="183"/>
      <c r="E318" s="152"/>
      <c r="F318" s="151"/>
      <c r="G318" s="151"/>
      <c r="H318" s="151"/>
      <c r="I318" s="151"/>
      <c r="J318" s="152"/>
      <c r="K318" s="152"/>
      <c r="L318" s="152"/>
      <c r="M318" s="152"/>
      <c r="N318" s="150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</row>
    <row r="319" customFormat="false" ht="11.25" hidden="false" customHeight="true" outlineLevel="0" collapsed="false">
      <c r="A319" s="89"/>
      <c r="B319" s="89"/>
      <c r="C319" s="89"/>
      <c r="D319" s="183"/>
      <c r="E319" s="152"/>
      <c r="F319" s="151"/>
      <c r="G319" s="151"/>
      <c r="H319" s="151"/>
      <c r="I319" s="151"/>
      <c r="J319" s="152"/>
      <c r="K319" s="152"/>
      <c r="L319" s="152"/>
      <c r="M319" s="152"/>
      <c r="N319" s="150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</row>
    <row r="320" customFormat="false" ht="11.25" hidden="false" customHeight="true" outlineLevel="0" collapsed="false">
      <c r="A320" s="89"/>
      <c r="B320" s="89"/>
      <c r="C320" s="89"/>
      <c r="D320" s="183"/>
      <c r="E320" s="152"/>
      <c r="F320" s="151"/>
      <c r="G320" s="151"/>
      <c r="H320" s="151"/>
      <c r="I320" s="151"/>
      <c r="J320" s="152"/>
      <c r="K320" s="152"/>
      <c r="L320" s="152"/>
      <c r="M320" s="152"/>
      <c r="N320" s="150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</row>
    <row r="321" customFormat="false" ht="11.25" hidden="false" customHeight="true" outlineLevel="0" collapsed="false">
      <c r="A321" s="89"/>
      <c r="B321" s="89"/>
      <c r="C321" s="89"/>
      <c r="D321" s="183"/>
      <c r="E321" s="152"/>
      <c r="F321" s="151"/>
      <c r="G321" s="151"/>
      <c r="H321" s="151"/>
      <c r="I321" s="151"/>
      <c r="J321" s="152"/>
      <c r="K321" s="152"/>
      <c r="L321" s="152"/>
      <c r="M321" s="152"/>
      <c r="N321" s="150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</row>
    <row r="322" customFormat="false" ht="11.25" hidden="false" customHeight="true" outlineLevel="0" collapsed="false">
      <c r="A322" s="89"/>
      <c r="B322" s="89"/>
      <c r="C322" s="89"/>
      <c r="D322" s="183"/>
      <c r="E322" s="152"/>
      <c r="F322" s="151"/>
      <c r="G322" s="151"/>
      <c r="H322" s="151"/>
      <c r="I322" s="151"/>
      <c r="J322" s="152"/>
      <c r="K322" s="152"/>
      <c r="L322" s="152"/>
      <c r="M322" s="152"/>
      <c r="N322" s="150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</row>
    <row r="323" customFormat="false" ht="11.25" hidden="false" customHeight="true" outlineLevel="0" collapsed="false">
      <c r="A323" s="89"/>
      <c r="B323" s="89"/>
      <c r="C323" s="89"/>
      <c r="D323" s="183"/>
      <c r="E323" s="152"/>
      <c r="F323" s="151"/>
      <c r="G323" s="151"/>
      <c r="H323" s="151"/>
      <c r="I323" s="151"/>
      <c r="J323" s="152"/>
      <c r="K323" s="152"/>
      <c r="L323" s="152"/>
      <c r="M323" s="152"/>
      <c r="N323" s="150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</row>
    <row r="324" customFormat="false" ht="11.25" hidden="false" customHeight="true" outlineLevel="0" collapsed="false">
      <c r="A324" s="89"/>
      <c r="B324" s="89"/>
      <c r="C324" s="89"/>
      <c r="D324" s="183"/>
      <c r="E324" s="152"/>
      <c r="F324" s="151"/>
      <c r="G324" s="151"/>
      <c r="H324" s="151"/>
      <c r="I324" s="151"/>
      <c r="J324" s="152"/>
      <c r="K324" s="152"/>
      <c r="L324" s="152"/>
      <c r="M324" s="152"/>
      <c r="N324" s="150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</row>
    <row r="325" customFormat="false" ht="11.25" hidden="false" customHeight="true" outlineLevel="0" collapsed="false">
      <c r="A325" s="89"/>
      <c r="B325" s="89"/>
      <c r="C325" s="89"/>
      <c r="D325" s="183"/>
      <c r="E325" s="152"/>
      <c r="F325" s="151"/>
      <c r="G325" s="151"/>
      <c r="H325" s="151"/>
      <c r="I325" s="151"/>
      <c r="J325" s="152"/>
      <c r="K325" s="152"/>
      <c r="L325" s="152"/>
      <c r="M325" s="152"/>
      <c r="N325" s="150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</row>
    <row r="326" customFormat="false" ht="11.25" hidden="false" customHeight="true" outlineLevel="0" collapsed="false">
      <c r="A326" s="89"/>
      <c r="B326" s="89"/>
      <c r="C326" s="89"/>
      <c r="D326" s="183"/>
      <c r="E326" s="152"/>
      <c r="F326" s="151"/>
      <c r="G326" s="151"/>
      <c r="H326" s="151"/>
      <c r="I326" s="151"/>
      <c r="J326" s="152"/>
      <c r="K326" s="152"/>
      <c r="L326" s="152"/>
      <c r="M326" s="152"/>
      <c r="N326" s="150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</row>
    <row r="327" customFormat="false" ht="11.25" hidden="false" customHeight="true" outlineLevel="0" collapsed="false">
      <c r="A327" s="89"/>
      <c r="B327" s="89"/>
      <c r="C327" s="89"/>
      <c r="D327" s="183"/>
      <c r="E327" s="152"/>
      <c r="F327" s="151"/>
      <c r="G327" s="151"/>
      <c r="H327" s="151"/>
      <c r="I327" s="151"/>
      <c r="J327" s="152"/>
      <c r="K327" s="152"/>
      <c r="L327" s="152"/>
      <c r="M327" s="152"/>
      <c r="N327" s="150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</row>
    <row r="328" customFormat="false" ht="11.25" hidden="false" customHeight="true" outlineLevel="0" collapsed="false">
      <c r="A328" s="89"/>
      <c r="B328" s="89"/>
      <c r="C328" s="89"/>
      <c r="D328" s="183"/>
      <c r="E328" s="152"/>
      <c r="F328" s="151"/>
      <c r="G328" s="151"/>
      <c r="H328" s="151"/>
      <c r="I328" s="151"/>
      <c r="J328" s="152"/>
      <c r="K328" s="152"/>
      <c r="L328" s="152"/>
      <c r="M328" s="152"/>
      <c r="N328" s="150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</row>
    <row r="329" customFormat="false" ht="11.25" hidden="false" customHeight="true" outlineLevel="0" collapsed="false">
      <c r="A329" s="89"/>
      <c r="B329" s="89"/>
      <c r="C329" s="89"/>
      <c r="D329" s="183"/>
      <c r="E329" s="152"/>
      <c r="F329" s="151"/>
      <c r="G329" s="151"/>
      <c r="H329" s="151"/>
      <c r="I329" s="151"/>
      <c r="J329" s="152"/>
      <c r="K329" s="152"/>
      <c r="L329" s="152"/>
      <c r="M329" s="152"/>
      <c r="N329" s="150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</row>
    <row r="330" customFormat="false" ht="11.25" hidden="false" customHeight="true" outlineLevel="0" collapsed="false">
      <c r="A330" s="89"/>
      <c r="B330" s="89"/>
      <c r="C330" s="89"/>
      <c r="D330" s="183"/>
      <c r="E330" s="152"/>
      <c r="F330" s="151"/>
      <c r="G330" s="151"/>
      <c r="H330" s="151"/>
      <c r="I330" s="151"/>
      <c r="J330" s="152"/>
      <c r="K330" s="152"/>
      <c r="L330" s="152"/>
      <c r="M330" s="152"/>
      <c r="N330" s="150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</row>
    <row r="331" customFormat="false" ht="11.25" hidden="false" customHeight="true" outlineLevel="0" collapsed="false">
      <c r="A331" s="89"/>
      <c r="B331" s="89"/>
      <c r="C331" s="89"/>
      <c r="D331" s="183"/>
      <c r="E331" s="152"/>
      <c r="F331" s="151"/>
      <c r="G331" s="151"/>
      <c r="H331" s="151"/>
      <c r="I331" s="151"/>
      <c r="J331" s="152"/>
      <c r="K331" s="152"/>
      <c r="L331" s="152"/>
      <c r="M331" s="152"/>
      <c r="N331" s="150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</row>
    <row r="332" customFormat="false" ht="11.25" hidden="false" customHeight="true" outlineLevel="0" collapsed="false">
      <c r="A332" s="89"/>
      <c r="B332" s="89"/>
      <c r="C332" s="89"/>
      <c r="D332" s="183"/>
      <c r="E332" s="152"/>
      <c r="F332" s="151"/>
      <c r="G332" s="151"/>
      <c r="H332" s="151"/>
      <c r="I332" s="151"/>
      <c r="J332" s="152"/>
      <c r="K332" s="152"/>
      <c r="L332" s="152"/>
      <c r="M332" s="152"/>
      <c r="N332" s="150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</row>
    <row r="333" customFormat="false" ht="11.25" hidden="false" customHeight="true" outlineLevel="0" collapsed="false">
      <c r="A333" s="89"/>
      <c r="B333" s="89"/>
      <c r="C333" s="89"/>
      <c r="D333" s="183"/>
      <c r="E333" s="152"/>
      <c r="F333" s="151"/>
      <c r="G333" s="151"/>
      <c r="H333" s="151"/>
      <c r="I333" s="151"/>
      <c r="J333" s="152"/>
      <c r="K333" s="152"/>
      <c r="L333" s="152"/>
      <c r="M333" s="152"/>
      <c r="N333" s="150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</row>
    <row r="334" customFormat="false" ht="11.25" hidden="false" customHeight="true" outlineLevel="0" collapsed="false">
      <c r="A334" s="89"/>
      <c r="B334" s="89"/>
      <c r="C334" s="89"/>
      <c r="D334" s="183"/>
      <c r="E334" s="152"/>
      <c r="F334" s="151"/>
      <c r="G334" s="151"/>
      <c r="H334" s="151"/>
      <c r="I334" s="151"/>
      <c r="J334" s="152"/>
      <c r="K334" s="152"/>
      <c r="L334" s="152"/>
      <c r="M334" s="152"/>
      <c r="N334" s="150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</row>
    <row r="335" customFormat="false" ht="11.25" hidden="false" customHeight="true" outlineLevel="0" collapsed="false">
      <c r="A335" s="89"/>
      <c r="B335" s="89"/>
      <c r="C335" s="89"/>
      <c r="D335" s="183"/>
      <c r="E335" s="152"/>
      <c r="F335" s="151"/>
      <c r="G335" s="151"/>
      <c r="H335" s="151"/>
      <c r="I335" s="151"/>
      <c r="J335" s="152"/>
      <c r="K335" s="152"/>
      <c r="L335" s="152"/>
      <c r="M335" s="152"/>
      <c r="N335" s="150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</row>
    <row r="336" customFormat="false" ht="11.25" hidden="false" customHeight="true" outlineLevel="0" collapsed="false">
      <c r="A336" s="89"/>
      <c r="B336" s="89"/>
      <c r="C336" s="89"/>
      <c r="D336" s="183"/>
      <c r="E336" s="152"/>
      <c r="F336" s="151"/>
      <c r="G336" s="151"/>
      <c r="H336" s="151"/>
      <c r="I336" s="151"/>
      <c r="J336" s="152"/>
      <c r="K336" s="152"/>
      <c r="L336" s="152"/>
      <c r="M336" s="152"/>
      <c r="N336" s="150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</row>
    <row r="337" customFormat="false" ht="11.25" hidden="false" customHeight="true" outlineLevel="0" collapsed="false">
      <c r="A337" s="89"/>
      <c r="B337" s="89"/>
      <c r="C337" s="89"/>
      <c r="D337" s="183"/>
      <c r="E337" s="152"/>
      <c r="F337" s="151"/>
      <c r="G337" s="151"/>
      <c r="H337" s="151"/>
      <c r="I337" s="151"/>
      <c r="J337" s="152"/>
      <c r="K337" s="152"/>
      <c r="L337" s="152"/>
      <c r="M337" s="152"/>
      <c r="N337" s="150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</row>
    <row r="338" customFormat="false" ht="11.25" hidden="false" customHeight="true" outlineLevel="0" collapsed="false">
      <c r="A338" s="89"/>
      <c r="B338" s="89"/>
      <c r="C338" s="89"/>
      <c r="D338" s="183"/>
      <c r="E338" s="152"/>
      <c r="F338" s="151"/>
      <c r="G338" s="151"/>
      <c r="H338" s="151"/>
      <c r="I338" s="151"/>
      <c r="J338" s="152"/>
      <c r="K338" s="152"/>
      <c r="L338" s="152"/>
      <c r="M338" s="152"/>
      <c r="N338" s="150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</row>
    <row r="339" customFormat="false" ht="11.25" hidden="false" customHeight="true" outlineLevel="0" collapsed="false">
      <c r="A339" s="89"/>
      <c r="B339" s="89"/>
      <c r="C339" s="89"/>
      <c r="D339" s="183"/>
      <c r="E339" s="152"/>
      <c r="F339" s="151"/>
      <c r="G339" s="151"/>
      <c r="H339" s="151"/>
      <c r="I339" s="151"/>
      <c r="J339" s="152"/>
      <c r="K339" s="152"/>
      <c r="L339" s="152"/>
      <c r="M339" s="152"/>
      <c r="N339" s="150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</row>
    <row r="340" customFormat="false" ht="11.25" hidden="false" customHeight="true" outlineLevel="0" collapsed="false">
      <c r="A340" s="89"/>
      <c r="B340" s="89"/>
      <c r="C340" s="89"/>
      <c r="D340" s="183"/>
      <c r="E340" s="152"/>
      <c r="F340" s="151"/>
      <c r="G340" s="151"/>
      <c r="H340" s="151"/>
      <c r="I340" s="151"/>
      <c r="J340" s="152"/>
      <c r="K340" s="152"/>
      <c r="L340" s="152"/>
      <c r="M340" s="152"/>
      <c r="N340" s="150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</row>
    <row r="341" customFormat="false" ht="11.25" hidden="false" customHeight="true" outlineLevel="0" collapsed="false">
      <c r="A341" s="89"/>
      <c r="B341" s="89"/>
      <c r="C341" s="89"/>
      <c r="D341" s="183"/>
      <c r="E341" s="152"/>
      <c r="F341" s="151"/>
      <c r="G341" s="151"/>
      <c r="H341" s="151"/>
      <c r="I341" s="151"/>
      <c r="J341" s="152"/>
      <c r="K341" s="152"/>
      <c r="L341" s="152"/>
      <c r="M341" s="152"/>
      <c r="N341" s="150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</row>
    <row r="342" customFormat="false" ht="11.25" hidden="false" customHeight="true" outlineLevel="0" collapsed="false">
      <c r="A342" s="89"/>
      <c r="B342" s="89"/>
      <c r="C342" s="89"/>
      <c r="D342" s="183"/>
      <c r="E342" s="152"/>
      <c r="F342" s="151"/>
      <c r="G342" s="151"/>
      <c r="H342" s="151"/>
      <c r="I342" s="151"/>
      <c r="J342" s="152"/>
      <c r="K342" s="152"/>
      <c r="L342" s="152"/>
      <c r="M342" s="152"/>
      <c r="N342" s="150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</row>
    <row r="343" customFormat="false" ht="11.25" hidden="false" customHeight="true" outlineLevel="0" collapsed="false">
      <c r="A343" s="89"/>
      <c r="B343" s="89"/>
      <c r="C343" s="89"/>
      <c r="D343" s="183"/>
      <c r="E343" s="152"/>
      <c r="F343" s="151"/>
      <c r="G343" s="151"/>
      <c r="H343" s="151"/>
      <c r="I343" s="151"/>
      <c r="J343" s="152"/>
      <c r="K343" s="152"/>
      <c r="L343" s="152"/>
      <c r="M343" s="152"/>
      <c r="N343" s="150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</row>
    <row r="344" customFormat="false" ht="11.25" hidden="false" customHeight="true" outlineLevel="0" collapsed="false">
      <c r="A344" s="89"/>
      <c r="B344" s="89"/>
      <c r="C344" s="89"/>
      <c r="D344" s="183"/>
      <c r="E344" s="152"/>
      <c r="F344" s="151"/>
      <c r="G344" s="151"/>
      <c r="H344" s="151"/>
      <c r="I344" s="151"/>
      <c r="J344" s="152"/>
      <c r="K344" s="152"/>
      <c r="L344" s="152"/>
      <c r="M344" s="152"/>
      <c r="N344" s="150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</row>
    <row r="345" customFormat="false" ht="11.25" hidden="false" customHeight="true" outlineLevel="0" collapsed="false">
      <c r="A345" s="89"/>
      <c r="B345" s="89"/>
      <c r="C345" s="89"/>
      <c r="D345" s="183"/>
      <c r="E345" s="152"/>
      <c r="F345" s="151"/>
      <c r="G345" s="151"/>
      <c r="H345" s="151"/>
      <c r="I345" s="151"/>
      <c r="J345" s="152"/>
      <c r="K345" s="152"/>
      <c r="L345" s="152"/>
      <c r="M345" s="152"/>
      <c r="N345" s="150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</row>
    <row r="346" customFormat="false" ht="11.25" hidden="false" customHeight="true" outlineLevel="0" collapsed="false">
      <c r="A346" s="89"/>
      <c r="B346" s="89"/>
      <c r="C346" s="89"/>
      <c r="D346" s="183"/>
      <c r="E346" s="152"/>
      <c r="F346" s="151"/>
      <c r="G346" s="151"/>
      <c r="H346" s="151"/>
      <c r="I346" s="151"/>
      <c r="J346" s="152"/>
      <c r="K346" s="152"/>
      <c r="L346" s="152"/>
      <c r="M346" s="152"/>
      <c r="N346" s="150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</row>
    <row r="347" customFormat="false" ht="11.25" hidden="false" customHeight="true" outlineLevel="0" collapsed="false">
      <c r="A347" s="89"/>
      <c r="B347" s="89"/>
      <c r="C347" s="89"/>
      <c r="D347" s="183"/>
      <c r="E347" s="152"/>
      <c r="F347" s="151"/>
      <c r="G347" s="151"/>
      <c r="H347" s="151"/>
      <c r="I347" s="151"/>
      <c r="J347" s="152"/>
      <c r="K347" s="152"/>
      <c r="L347" s="152"/>
      <c r="M347" s="152"/>
      <c r="N347" s="150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</row>
    <row r="348" customFormat="false" ht="11.25" hidden="false" customHeight="true" outlineLevel="0" collapsed="false">
      <c r="A348" s="89"/>
      <c r="B348" s="89"/>
      <c r="C348" s="89"/>
      <c r="D348" s="183"/>
      <c r="E348" s="152"/>
      <c r="F348" s="151"/>
      <c r="G348" s="151"/>
      <c r="H348" s="151"/>
      <c r="I348" s="151"/>
      <c r="J348" s="152"/>
      <c r="K348" s="152"/>
      <c r="L348" s="152"/>
      <c r="M348" s="152"/>
      <c r="N348" s="150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</row>
    <row r="349" customFormat="false" ht="11.25" hidden="false" customHeight="true" outlineLevel="0" collapsed="false">
      <c r="A349" s="89"/>
      <c r="B349" s="89"/>
      <c r="C349" s="89"/>
      <c r="D349" s="183"/>
      <c r="E349" s="152"/>
      <c r="F349" s="151"/>
      <c r="G349" s="151"/>
      <c r="H349" s="151"/>
      <c r="I349" s="151"/>
      <c r="J349" s="152"/>
      <c r="K349" s="152"/>
      <c r="L349" s="152"/>
      <c r="M349" s="152"/>
      <c r="N349" s="150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</row>
    <row r="350" customFormat="false" ht="11.25" hidden="false" customHeight="true" outlineLevel="0" collapsed="false">
      <c r="A350" s="89"/>
      <c r="B350" s="89"/>
      <c r="C350" s="89"/>
      <c r="D350" s="183"/>
      <c r="E350" s="152"/>
      <c r="F350" s="151"/>
      <c r="G350" s="151"/>
      <c r="H350" s="151"/>
      <c r="I350" s="151"/>
      <c r="J350" s="152"/>
      <c r="K350" s="152"/>
      <c r="L350" s="152"/>
      <c r="M350" s="152"/>
      <c r="N350" s="150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</row>
    <row r="351" customFormat="false" ht="11.25" hidden="false" customHeight="true" outlineLevel="0" collapsed="false">
      <c r="A351" s="89"/>
      <c r="B351" s="89"/>
      <c r="C351" s="89"/>
      <c r="D351" s="183"/>
      <c r="E351" s="152"/>
      <c r="F351" s="151"/>
      <c r="G351" s="151"/>
      <c r="H351" s="151"/>
      <c r="I351" s="151"/>
      <c r="J351" s="152"/>
      <c r="K351" s="152"/>
      <c r="L351" s="152"/>
      <c r="M351" s="152"/>
      <c r="N351" s="150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</row>
    <row r="352" customFormat="false" ht="11.25" hidden="false" customHeight="true" outlineLevel="0" collapsed="false">
      <c r="A352" s="89"/>
      <c r="B352" s="89"/>
      <c r="C352" s="89"/>
      <c r="D352" s="183"/>
      <c r="E352" s="152"/>
      <c r="F352" s="151"/>
      <c r="G352" s="151"/>
      <c r="H352" s="151"/>
      <c r="I352" s="151"/>
      <c r="J352" s="152"/>
      <c r="K352" s="152"/>
      <c r="L352" s="152"/>
      <c r="M352" s="152"/>
      <c r="N352" s="150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</row>
    <row r="353" customFormat="false" ht="11.25" hidden="false" customHeight="true" outlineLevel="0" collapsed="false">
      <c r="A353" s="89"/>
      <c r="B353" s="89"/>
      <c r="C353" s="89"/>
      <c r="D353" s="183"/>
      <c r="E353" s="152"/>
      <c r="F353" s="151"/>
      <c r="G353" s="151"/>
      <c r="H353" s="151"/>
      <c r="I353" s="151"/>
      <c r="J353" s="152"/>
      <c r="K353" s="152"/>
      <c r="L353" s="152"/>
      <c r="M353" s="152"/>
      <c r="N353" s="150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</row>
    <row r="354" customFormat="false" ht="11.25" hidden="false" customHeight="true" outlineLevel="0" collapsed="false">
      <c r="A354" s="89"/>
      <c r="B354" s="89"/>
      <c r="C354" s="89"/>
      <c r="D354" s="183"/>
      <c r="E354" s="152"/>
      <c r="F354" s="151"/>
      <c r="G354" s="151"/>
      <c r="H354" s="151"/>
      <c r="I354" s="151"/>
      <c r="J354" s="152"/>
      <c r="K354" s="152"/>
      <c r="L354" s="152"/>
      <c r="M354" s="152"/>
      <c r="N354" s="150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</row>
    <row r="355" customFormat="false" ht="11.25" hidden="false" customHeight="true" outlineLevel="0" collapsed="false">
      <c r="A355" s="89"/>
      <c r="B355" s="89"/>
      <c r="C355" s="89"/>
      <c r="D355" s="183"/>
      <c r="E355" s="152"/>
      <c r="F355" s="151"/>
      <c r="G355" s="151"/>
      <c r="H355" s="151"/>
      <c r="I355" s="151"/>
      <c r="J355" s="152"/>
      <c r="K355" s="152"/>
      <c r="L355" s="152"/>
      <c r="M355" s="152"/>
      <c r="N355" s="150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</row>
    <row r="356" customFormat="false" ht="11.25" hidden="false" customHeight="true" outlineLevel="0" collapsed="false">
      <c r="A356" s="89"/>
      <c r="B356" s="89"/>
      <c r="C356" s="89"/>
      <c r="D356" s="183"/>
      <c r="E356" s="152"/>
      <c r="F356" s="151"/>
      <c r="G356" s="151"/>
      <c r="H356" s="151"/>
      <c r="I356" s="151"/>
      <c r="J356" s="152"/>
      <c r="K356" s="152"/>
      <c r="L356" s="152"/>
      <c r="M356" s="152"/>
      <c r="N356" s="150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</row>
    <row r="357" customFormat="false" ht="11.25" hidden="false" customHeight="true" outlineLevel="0" collapsed="false">
      <c r="A357" s="89"/>
      <c r="B357" s="89"/>
      <c r="C357" s="89"/>
      <c r="D357" s="183"/>
      <c r="E357" s="152"/>
      <c r="F357" s="151"/>
      <c r="G357" s="151"/>
      <c r="H357" s="151"/>
      <c r="I357" s="151"/>
      <c r="J357" s="152"/>
      <c r="K357" s="152"/>
      <c r="L357" s="152"/>
      <c r="M357" s="152"/>
      <c r="N357" s="150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</row>
    <row r="358" customFormat="false" ht="11.25" hidden="false" customHeight="true" outlineLevel="0" collapsed="false">
      <c r="A358" s="89"/>
      <c r="B358" s="89"/>
      <c r="C358" s="89"/>
      <c r="D358" s="183"/>
      <c r="E358" s="152"/>
      <c r="F358" s="151"/>
      <c r="G358" s="151"/>
      <c r="H358" s="151"/>
      <c r="I358" s="151"/>
      <c r="J358" s="152"/>
      <c r="K358" s="152"/>
      <c r="L358" s="152"/>
      <c r="M358" s="152"/>
      <c r="N358" s="150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</row>
    <row r="359" customFormat="false" ht="11.25" hidden="false" customHeight="true" outlineLevel="0" collapsed="false">
      <c r="A359" s="89"/>
      <c r="B359" s="89"/>
      <c r="C359" s="89"/>
      <c r="D359" s="183"/>
      <c r="E359" s="152"/>
      <c r="F359" s="151"/>
      <c r="G359" s="151"/>
      <c r="H359" s="151"/>
      <c r="I359" s="151"/>
      <c r="J359" s="152"/>
      <c r="K359" s="152"/>
      <c r="L359" s="152"/>
      <c r="M359" s="152"/>
      <c r="N359" s="150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</row>
    <row r="360" customFormat="false" ht="11.25" hidden="false" customHeight="true" outlineLevel="0" collapsed="false">
      <c r="A360" s="89"/>
      <c r="B360" s="89"/>
      <c r="C360" s="89"/>
      <c r="D360" s="183"/>
      <c r="E360" s="152"/>
      <c r="F360" s="151"/>
      <c r="G360" s="151"/>
      <c r="H360" s="151"/>
      <c r="I360" s="151"/>
      <c r="J360" s="152"/>
      <c r="K360" s="152"/>
      <c r="L360" s="152"/>
      <c r="M360" s="152"/>
      <c r="N360" s="150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</row>
    <row r="361" customFormat="false" ht="11.25" hidden="false" customHeight="true" outlineLevel="0" collapsed="false">
      <c r="A361" s="89"/>
      <c r="B361" s="89"/>
      <c r="C361" s="89"/>
      <c r="D361" s="183"/>
      <c r="E361" s="152"/>
      <c r="F361" s="151"/>
      <c r="G361" s="151"/>
      <c r="H361" s="151"/>
      <c r="I361" s="151"/>
      <c r="J361" s="152"/>
      <c r="K361" s="152"/>
      <c r="L361" s="152"/>
      <c r="M361" s="152"/>
      <c r="N361" s="150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</row>
    <row r="362" customFormat="false" ht="11.25" hidden="false" customHeight="true" outlineLevel="0" collapsed="false">
      <c r="A362" s="89"/>
      <c r="B362" s="89"/>
      <c r="C362" s="89"/>
      <c r="D362" s="183"/>
      <c r="E362" s="152"/>
      <c r="F362" s="151"/>
      <c r="G362" s="151"/>
      <c r="H362" s="151"/>
      <c r="I362" s="151"/>
      <c r="J362" s="152"/>
      <c r="K362" s="152"/>
      <c r="L362" s="152"/>
      <c r="M362" s="152"/>
      <c r="N362" s="150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</row>
    <row r="363" customFormat="false" ht="11.25" hidden="false" customHeight="true" outlineLevel="0" collapsed="false">
      <c r="A363" s="89"/>
      <c r="B363" s="89"/>
      <c r="C363" s="89"/>
      <c r="D363" s="183"/>
      <c r="E363" s="152"/>
      <c r="F363" s="151"/>
      <c r="G363" s="151"/>
      <c r="H363" s="151"/>
      <c r="I363" s="151"/>
      <c r="J363" s="152"/>
      <c r="K363" s="152"/>
      <c r="L363" s="152"/>
      <c r="M363" s="152"/>
      <c r="N363" s="150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</row>
    <row r="364" customFormat="false" ht="11.25" hidden="false" customHeight="true" outlineLevel="0" collapsed="false">
      <c r="A364" s="89"/>
      <c r="B364" s="89"/>
      <c r="C364" s="89"/>
      <c r="D364" s="183"/>
      <c r="E364" s="152"/>
      <c r="F364" s="151"/>
      <c r="G364" s="151"/>
      <c r="H364" s="151"/>
      <c r="I364" s="151"/>
      <c r="J364" s="152"/>
      <c r="K364" s="152"/>
      <c r="L364" s="152"/>
      <c r="M364" s="152"/>
      <c r="N364" s="150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</row>
    <row r="365" customFormat="false" ht="11.25" hidden="false" customHeight="true" outlineLevel="0" collapsed="false">
      <c r="A365" s="89"/>
      <c r="B365" s="89"/>
      <c r="C365" s="89"/>
      <c r="D365" s="183"/>
      <c r="E365" s="152"/>
      <c r="F365" s="151"/>
      <c r="G365" s="151"/>
      <c r="H365" s="151"/>
      <c r="I365" s="151"/>
      <c r="J365" s="152"/>
      <c r="K365" s="152"/>
      <c r="L365" s="152"/>
      <c r="M365" s="152"/>
      <c r="N365" s="150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</row>
    <row r="366" customFormat="false" ht="11.25" hidden="false" customHeight="true" outlineLevel="0" collapsed="false">
      <c r="A366" s="89"/>
      <c r="B366" s="89"/>
      <c r="C366" s="89"/>
      <c r="D366" s="183"/>
      <c r="E366" s="152"/>
      <c r="F366" s="151"/>
      <c r="G366" s="151"/>
      <c r="H366" s="151"/>
      <c r="I366" s="151"/>
      <c r="J366" s="152"/>
      <c r="K366" s="152"/>
      <c r="L366" s="152"/>
      <c r="M366" s="152"/>
      <c r="N366" s="150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</row>
    <row r="367" customFormat="false" ht="11.25" hidden="false" customHeight="true" outlineLevel="0" collapsed="false">
      <c r="A367" s="89"/>
      <c r="B367" s="89"/>
      <c r="C367" s="89"/>
      <c r="D367" s="183"/>
      <c r="E367" s="152"/>
      <c r="F367" s="151"/>
      <c r="G367" s="151"/>
      <c r="H367" s="151"/>
      <c r="I367" s="151"/>
      <c r="J367" s="152"/>
      <c r="K367" s="152"/>
      <c r="L367" s="152"/>
      <c r="M367" s="152"/>
      <c r="N367" s="150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</row>
    <row r="368" customFormat="false" ht="11.25" hidden="false" customHeight="true" outlineLevel="0" collapsed="false">
      <c r="A368" s="89"/>
      <c r="B368" s="89"/>
      <c r="C368" s="89"/>
      <c r="D368" s="183"/>
      <c r="E368" s="152"/>
      <c r="F368" s="151"/>
      <c r="G368" s="151"/>
      <c r="H368" s="151"/>
      <c r="I368" s="151"/>
      <c r="J368" s="152"/>
      <c r="K368" s="152"/>
      <c r="L368" s="152"/>
      <c r="M368" s="152"/>
      <c r="N368" s="150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</row>
    <row r="369" customFormat="false" ht="11.25" hidden="false" customHeight="true" outlineLevel="0" collapsed="false">
      <c r="A369" s="89"/>
      <c r="B369" s="89"/>
      <c r="C369" s="89"/>
      <c r="D369" s="183"/>
      <c r="E369" s="152"/>
      <c r="F369" s="151"/>
      <c r="G369" s="151"/>
      <c r="H369" s="151"/>
      <c r="I369" s="151"/>
      <c r="J369" s="152"/>
      <c r="K369" s="152"/>
      <c r="L369" s="152"/>
      <c r="M369" s="152"/>
      <c r="N369" s="150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</row>
    <row r="370" customFormat="false" ht="11.25" hidden="false" customHeight="true" outlineLevel="0" collapsed="false">
      <c r="A370" s="89"/>
      <c r="B370" s="89"/>
      <c r="C370" s="89"/>
      <c r="D370" s="183"/>
      <c r="E370" s="152"/>
      <c r="F370" s="151"/>
      <c r="G370" s="151"/>
      <c r="H370" s="151"/>
      <c r="I370" s="151"/>
      <c r="J370" s="152"/>
      <c r="K370" s="152"/>
      <c r="L370" s="152"/>
      <c r="M370" s="152"/>
      <c r="N370" s="150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</row>
    <row r="371" customFormat="false" ht="11.25" hidden="false" customHeight="true" outlineLevel="0" collapsed="false">
      <c r="A371" s="89"/>
      <c r="B371" s="89"/>
      <c r="C371" s="89"/>
      <c r="D371" s="183"/>
      <c r="E371" s="152"/>
      <c r="F371" s="151"/>
      <c r="G371" s="151"/>
      <c r="H371" s="151"/>
      <c r="I371" s="151"/>
      <c r="J371" s="152"/>
      <c r="K371" s="152"/>
      <c r="L371" s="152"/>
      <c r="M371" s="152"/>
      <c r="N371" s="150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</row>
    <row r="372" customFormat="false" ht="11.25" hidden="false" customHeight="true" outlineLevel="0" collapsed="false">
      <c r="A372" s="89"/>
      <c r="B372" s="89"/>
      <c r="C372" s="89"/>
      <c r="D372" s="183"/>
      <c r="E372" s="152"/>
      <c r="F372" s="151"/>
      <c r="G372" s="151"/>
      <c r="H372" s="151"/>
      <c r="I372" s="151"/>
      <c r="J372" s="152"/>
      <c r="K372" s="152"/>
      <c r="L372" s="152"/>
      <c r="M372" s="152"/>
      <c r="N372" s="150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</row>
    <row r="373" customFormat="false" ht="11.25" hidden="false" customHeight="true" outlineLevel="0" collapsed="false">
      <c r="A373" s="89"/>
      <c r="B373" s="89"/>
      <c r="C373" s="89"/>
      <c r="D373" s="183"/>
      <c r="E373" s="152"/>
      <c r="F373" s="151"/>
      <c r="G373" s="151"/>
      <c r="H373" s="151"/>
      <c r="I373" s="151"/>
      <c r="J373" s="152"/>
      <c r="K373" s="152"/>
      <c r="L373" s="152"/>
      <c r="M373" s="152"/>
      <c r="N373" s="150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</row>
    <row r="374" customFormat="false" ht="11.25" hidden="false" customHeight="true" outlineLevel="0" collapsed="false">
      <c r="A374" s="89"/>
      <c r="B374" s="89"/>
      <c r="C374" s="89"/>
      <c r="D374" s="183"/>
      <c r="E374" s="152"/>
      <c r="F374" s="151"/>
      <c r="G374" s="151"/>
      <c r="H374" s="151"/>
      <c r="I374" s="151"/>
      <c r="J374" s="152"/>
      <c r="K374" s="152"/>
      <c r="L374" s="152"/>
      <c r="M374" s="152"/>
      <c r="N374" s="150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</row>
    <row r="375" customFormat="false" ht="11.25" hidden="false" customHeight="true" outlineLevel="0" collapsed="false">
      <c r="A375" s="89"/>
      <c r="B375" s="89"/>
      <c r="C375" s="89"/>
      <c r="D375" s="183"/>
      <c r="E375" s="152"/>
      <c r="F375" s="151"/>
      <c r="G375" s="151"/>
      <c r="H375" s="151"/>
      <c r="I375" s="151"/>
      <c r="J375" s="152"/>
      <c r="K375" s="152"/>
      <c r="L375" s="152"/>
      <c r="M375" s="152"/>
      <c r="N375" s="150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</row>
    <row r="376" customFormat="false" ht="11.25" hidden="false" customHeight="true" outlineLevel="0" collapsed="false">
      <c r="A376" s="89"/>
      <c r="B376" s="89"/>
      <c r="C376" s="89"/>
      <c r="D376" s="183"/>
      <c r="E376" s="152"/>
      <c r="F376" s="151"/>
      <c r="G376" s="151"/>
      <c r="H376" s="151"/>
      <c r="I376" s="151"/>
      <c r="J376" s="152"/>
      <c r="K376" s="152"/>
      <c r="L376" s="152"/>
      <c r="M376" s="152"/>
      <c r="N376" s="150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</row>
    <row r="377" customFormat="false" ht="11.25" hidden="false" customHeight="true" outlineLevel="0" collapsed="false">
      <c r="A377" s="89"/>
      <c r="B377" s="89"/>
      <c r="C377" s="89"/>
      <c r="D377" s="183"/>
      <c r="E377" s="152"/>
      <c r="F377" s="151"/>
      <c r="G377" s="151"/>
      <c r="H377" s="151"/>
      <c r="I377" s="151"/>
      <c r="J377" s="152"/>
      <c r="K377" s="152"/>
      <c r="L377" s="152"/>
      <c r="M377" s="152"/>
      <c r="N377" s="150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</row>
    <row r="378" customFormat="false" ht="11.25" hidden="false" customHeight="true" outlineLevel="0" collapsed="false">
      <c r="A378" s="89"/>
      <c r="B378" s="89"/>
      <c r="C378" s="89"/>
      <c r="D378" s="183"/>
      <c r="E378" s="152"/>
      <c r="F378" s="151"/>
      <c r="G378" s="151"/>
      <c r="H378" s="151"/>
      <c r="I378" s="151"/>
      <c r="J378" s="152"/>
      <c r="K378" s="152"/>
      <c r="L378" s="152"/>
      <c r="M378" s="152"/>
      <c r="N378" s="150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</row>
    <row r="379" customFormat="false" ht="11.25" hidden="false" customHeight="true" outlineLevel="0" collapsed="false">
      <c r="A379" s="89"/>
      <c r="B379" s="89"/>
      <c r="C379" s="89"/>
      <c r="D379" s="183"/>
      <c r="E379" s="152"/>
      <c r="F379" s="151"/>
      <c r="G379" s="151"/>
      <c r="H379" s="151"/>
      <c r="I379" s="151"/>
      <c r="J379" s="152"/>
      <c r="K379" s="152"/>
      <c r="L379" s="152"/>
      <c r="M379" s="152"/>
      <c r="N379" s="150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</row>
    <row r="380" customFormat="false" ht="11.25" hidden="false" customHeight="true" outlineLevel="0" collapsed="false">
      <c r="A380" s="89"/>
      <c r="B380" s="89"/>
      <c r="C380" s="89"/>
      <c r="D380" s="183"/>
      <c r="E380" s="152"/>
      <c r="F380" s="151"/>
      <c r="G380" s="151"/>
      <c r="H380" s="151"/>
      <c r="I380" s="151"/>
      <c r="J380" s="152"/>
      <c r="K380" s="152"/>
      <c r="L380" s="152"/>
      <c r="M380" s="152"/>
      <c r="N380" s="150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</row>
    <row r="381" customFormat="false" ht="11.25" hidden="false" customHeight="true" outlineLevel="0" collapsed="false">
      <c r="A381" s="89"/>
      <c r="B381" s="89"/>
      <c r="C381" s="89"/>
      <c r="D381" s="183"/>
      <c r="E381" s="152"/>
      <c r="F381" s="151"/>
      <c r="G381" s="151"/>
      <c r="H381" s="151"/>
      <c r="I381" s="151"/>
      <c r="J381" s="152"/>
      <c r="K381" s="152"/>
      <c r="L381" s="152"/>
      <c r="M381" s="152"/>
      <c r="N381" s="150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</row>
    <row r="382" customFormat="false" ht="11.25" hidden="false" customHeight="true" outlineLevel="0" collapsed="false">
      <c r="A382" s="89"/>
      <c r="B382" s="89"/>
      <c r="C382" s="89"/>
      <c r="D382" s="183"/>
      <c r="E382" s="152"/>
      <c r="F382" s="151"/>
      <c r="G382" s="151"/>
      <c r="H382" s="151"/>
      <c r="I382" s="151"/>
      <c r="J382" s="152"/>
      <c r="K382" s="152"/>
      <c r="L382" s="152"/>
      <c r="M382" s="152"/>
      <c r="N382" s="150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</row>
    <row r="383" customFormat="false" ht="11.25" hidden="false" customHeight="true" outlineLevel="0" collapsed="false">
      <c r="A383" s="89"/>
      <c r="B383" s="89"/>
      <c r="C383" s="89"/>
      <c r="D383" s="183"/>
      <c r="E383" s="152"/>
      <c r="F383" s="151"/>
      <c r="G383" s="151"/>
      <c r="H383" s="151"/>
      <c r="I383" s="151"/>
      <c r="J383" s="152"/>
      <c r="K383" s="152"/>
      <c r="L383" s="152"/>
      <c r="M383" s="152"/>
      <c r="N383" s="150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</row>
    <row r="384" customFormat="false" ht="11.25" hidden="false" customHeight="true" outlineLevel="0" collapsed="false">
      <c r="A384" s="89"/>
      <c r="B384" s="89"/>
      <c r="C384" s="89"/>
      <c r="D384" s="183"/>
      <c r="E384" s="152"/>
      <c r="F384" s="151"/>
      <c r="G384" s="151"/>
      <c r="H384" s="151"/>
      <c r="I384" s="151"/>
      <c r="J384" s="152"/>
      <c r="K384" s="152"/>
      <c r="L384" s="152"/>
      <c r="M384" s="152"/>
      <c r="N384" s="150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</row>
    <row r="385" customFormat="false" ht="11.25" hidden="false" customHeight="true" outlineLevel="0" collapsed="false">
      <c r="A385" s="89"/>
      <c r="B385" s="89"/>
      <c r="C385" s="89"/>
      <c r="D385" s="183"/>
      <c r="E385" s="152"/>
      <c r="F385" s="151"/>
      <c r="G385" s="151"/>
      <c r="H385" s="151"/>
      <c r="I385" s="151"/>
      <c r="J385" s="152"/>
      <c r="K385" s="152"/>
      <c r="L385" s="152"/>
      <c r="M385" s="152"/>
      <c r="N385" s="150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</row>
    <row r="386" customFormat="false" ht="11.25" hidden="false" customHeight="true" outlineLevel="0" collapsed="false">
      <c r="A386" s="89"/>
      <c r="B386" s="89"/>
      <c r="C386" s="89"/>
      <c r="D386" s="183"/>
      <c r="E386" s="152"/>
      <c r="F386" s="151"/>
      <c r="G386" s="151"/>
      <c r="H386" s="151"/>
      <c r="I386" s="151"/>
      <c r="J386" s="152"/>
      <c r="K386" s="152"/>
      <c r="L386" s="152"/>
      <c r="M386" s="152"/>
      <c r="N386" s="150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</row>
    <row r="387" customFormat="false" ht="11.25" hidden="false" customHeight="true" outlineLevel="0" collapsed="false">
      <c r="A387" s="89"/>
      <c r="B387" s="89"/>
      <c r="C387" s="89"/>
      <c r="D387" s="183"/>
      <c r="E387" s="152"/>
      <c r="F387" s="151"/>
      <c r="G387" s="151"/>
      <c r="H387" s="151"/>
      <c r="I387" s="151"/>
      <c r="J387" s="152"/>
      <c r="K387" s="152"/>
      <c r="L387" s="152"/>
      <c r="M387" s="152"/>
      <c r="N387" s="150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</row>
    <row r="388" customFormat="false" ht="11.25" hidden="false" customHeight="true" outlineLevel="0" collapsed="false">
      <c r="A388" s="89"/>
      <c r="B388" s="89"/>
      <c r="C388" s="89"/>
      <c r="D388" s="183"/>
      <c r="E388" s="152"/>
      <c r="F388" s="151"/>
      <c r="G388" s="151"/>
      <c r="H388" s="151"/>
      <c r="I388" s="151"/>
      <c r="J388" s="152"/>
      <c r="K388" s="152"/>
      <c r="L388" s="152"/>
      <c r="M388" s="152"/>
      <c r="N388" s="150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</row>
    <row r="389" customFormat="false" ht="11.25" hidden="false" customHeight="true" outlineLevel="0" collapsed="false">
      <c r="A389" s="89"/>
      <c r="B389" s="89"/>
      <c r="C389" s="89"/>
      <c r="D389" s="183"/>
      <c r="E389" s="152"/>
      <c r="F389" s="151"/>
      <c r="G389" s="151"/>
      <c r="H389" s="151"/>
      <c r="I389" s="151"/>
      <c r="J389" s="152"/>
      <c r="K389" s="152"/>
      <c r="L389" s="152"/>
      <c r="M389" s="152"/>
      <c r="N389" s="150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</row>
    <row r="390" customFormat="false" ht="11.25" hidden="false" customHeight="true" outlineLevel="0" collapsed="false">
      <c r="A390" s="89"/>
      <c r="B390" s="89"/>
      <c r="C390" s="89"/>
      <c r="D390" s="183"/>
      <c r="E390" s="152"/>
      <c r="F390" s="151"/>
      <c r="G390" s="151"/>
      <c r="H390" s="151"/>
      <c r="I390" s="151"/>
      <c r="J390" s="152"/>
      <c r="K390" s="152"/>
      <c r="L390" s="152"/>
      <c r="M390" s="152"/>
      <c r="N390" s="150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</row>
    <row r="391" customFormat="false" ht="11.25" hidden="false" customHeight="true" outlineLevel="0" collapsed="false">
      <c r="A391" s="89"/>
      <c r="B391" s="89"/>
      <c r="C391" s="89"/>
      <c r="D391" s="183"/>
      <c r="E391" s="152"/>
      <c r="F391" s="151"/>
      <c r="G391" s="151"/>
      <c r="H391" s="151"/>
      <c r="I391" s="151"/>
      <c r="J391" s="152"/>
      <c r="K391" s="152"/>
      <c r="L391" s="152"/>
      <c r="M391" s="152"/>
      <c r="N391" s="150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</row>
    <row r="392" customFormat="false" ht="11.25" hidden="false" customHeight="true" outlineLevel="0" collapsed="false">
      <c r="A392" s="89"/>
      <c r="B392" s="89"/>
      <c r="C392" s="89"/>
      <c r="D392" s="183"/>
      <c r="E392" s="152"/>
      <c r="F392" s="151"/>
      <c r="G392" s="151"/>
      <c r="H392" s="151"/>
      <c r="I392" s="151"/>
      <c r="J392" s="152"/>
      <c r="K392" s="152"/>
      <c r="L392" s="152"/>
      <c r="M392" s="152"/>
      <c r="N392" s="150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</row>
    <row r="393" customFormat="false" ht="11.25" hidden="false" customHeight="true" outlineLevel="0" collapsed="false">
      <c r="A393" s="89"/>
      <c r="B393" s="89"/>
      <c r="C393" s="89"/>
      <c r="D393" s="183"/>
      <c r="E393" s="152"/>
      <c r="F393" s="151"/>
      <c r="G393" s="151"/>
      <c r="H393" s="151"/>
      <c r="I393" s="151"/>
      <c r="J393" s="152"/>
      <c r="K393" s="152"/>
      <c r="L393" s="152"/>
      <c r="M393" s="152"/>
      <c r="N393" s="150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</row>
    <row r="394" customFormat="false" ht="11.25" hidden="false" customHeight="true" outlineLevel="0" collapsed="false">
      <c r="A394" s="89"/>
      <c r="B394" s="89"/>
      <c r="C394" s="89"/>
      <c r="D394" s="183"/>
      <c r="E394" s="152"/>
      <c r="F394" s="151"/>
      <c r="G394" s="151"/>
      <c r="H394" s="151"/>
      <c r="I394" s="151"/>
      <c r="J394" s="152"/>
      <c r="K394" s="152"/>
      <c r="L394" s="152"/>
      <c r="M394" s="152"/>
      <c r="N394" s="150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</row>
    <row r="395" customFormat="false" ht="11.25" hidden="false" customHeight="true" outlineLevel="0" collapsed="false">
      <c r="A395" s="89"/>
      <c r="B395" s="89"/>
      <c r="C395" s="89"/>
      <c r="D395" s="183"/>
      <c r="E395" s="152"/>
      <c r="F395" s="151"/>
      <c r="G395" s="151"/>
      <c r="H395" s="151"/>
      <c r="I395" s="151"/>
      <c r="J395" s="152"/>
      <c r="K395" s="152"/>
      <c r="L395" s="152"/>
      <c r="M395" s="152"/>
      <c r="N395" s="150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</row>
    <row r="396" customFormat="false" ht="11.25" hidden="false" customHeight="true" outlineLevel="0" collapsed="false">
      <c r="A396" s="89"/>
      <c r="B396" s="89"/>
      <c r="C396" s="89"/>
      <c r="D396" s="183"/>
      <c r="E396" s="152"/>
      <c r="F396" s="151"/>
      <c r="G396" s="151"/>
      <c r="H396" s="151"/>
      <c r="I396" s="151"/>
      <c r="J396" s="152"/>
      <c r="K396" s="152"/>
      <c r="L396" s="152"/>
      <c r="M396" s="152"/>
      <c r="N396" s="150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</row>
    <row r="397" customFormat="false" ht="11.25" hidden="false" customHeight="true" outlineLevel="0" collapsed="false">
      <c r="A397" s="89"/>
      <c r="B397" s="89"/>
      <c r="C397" s="89"/>
      <c r="D397" s="183"/>
      <c r="E397" s="152"/>
      <c r="F397" s="151"/>
      <c r="G397" s="151"/>
      <c r="H397" s="151"/>
      <c r="I397" s="151"/>
      <c r="J397" s="152"/>
      <c r="K397" s="152"/>
      <c r="L397" s="152"/>
      <c r="M397" s="152"/>
      <c r="N397" s="150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</row>
    <row r="398" customFormat="false" ht="11.25" hidden="false" customHeight="true" outlineLevel="0" collapsed="false">
      <c r="A398" s="89"/>
      <c r="B398" s="89"/>
      <c r="C398" s="89"/>
      <c r="D398" s="183"/>
      <c r="E398" s="152"/>
      <c r="F398" s="151"/>
      <c r="G398" s="151"/>
      <c r="H398" s="151"/>
      <c r="I398" s="151"/>
      <c r="J398" s="152"/>
      <c r="K398" s="152"/>
      <c r="L398" s="152"/>
      <c r="M398" s="152"/>
      <c r="N398" s="150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</row>
    <row r="399" customFormat="false" ht="11.25" hidden="false" customHeight="true" outlineLevel="0" collapsed="false">
      <c r="A399" s="89"/>
      <c r="B399" s="89"/>
      <c r="C399" s="89"/>
      <c r="D399" s="183"/>
      <c r="E399" s="152"/>
      <c r="F399" s="151"/>
      <c r="G399" s="151"/>
      <c r="H399" s="151"/>
      <c r="I399" s="151"/>
      <c r="J399" s="152"/>
      <c r="K399" s="152"/>
      <c r="L399" s="152"/>
      <c r="M399" s="152"/>
      <c r="N399" s="150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</row>
    <row r="400" customFormat="false" ht="11.25" hidden="false" customHeight="true" outlineLevel="0" collapsed="false">
      <c r="A400" s="89"/>
      <c r="B400" s="89"/>
      <c r="C400" s="89"/>
      <c r="D400" s="183"/>
      <c r="E400" s="152"/>
      <c r="F400" s="151"/>
      <c r="G400" s="151"/>
      <c r="H400" s="151"/>
      <c r="I400" s="151"/>
      <c r="J400" s="152"/>
      <c r="K400" s="152"/>
      <c r="L400" s="152"/>
      <c r="M400" s="152"/>
      <c r="N400" s="150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</row>
    <row r="401" customFormat="false" ht="11.25" hidden="false" customHeight="true" outlineLevel="0" collapsed="false">
      <c r="A401" s="89"/>
      <c r="B401" s="89"/>
      <c r="C401" s="89"/>
      <c r="D401" s="183"/>
      <c r="E401" s="152"/>
      <c r="F401" s="151"/>
      <c r="G401" s="151"/>
      <c r="H401" s="151"/>
      <c r="I401" s="151"/>
      <c r="J401" s="152"/>
      <c r="K401" s="152"/>
      <c r="L401" s="152"/>
      <c r="M401" s="152"/>
      <c r="N401" s="150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</row>
    <row r="402" customFormat="false" ht="11.25" hidden="false" customHeight="true" outlineLevel="0" collapsed="false">
      <c r="A402" s="89"/>
      <c r="B402" s="89"/>
      <c r="C402" s="89"/>
      <c r="D402" s="183"/>
      <c r="E402" s="152"/>
      <c r="F402" s="151"/>
      <c r="G402" s="151"/>
      <c r="H402" s="151"/>
      <c r="I402" s="151"/>
      <c r="J402" s="152"/>
      <c r="K402" s="152"/>
      <c r="L402" s="152"/>
      <c r="M402" s="152"/>
      <c r="N402" s="150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</row>
    <row r="403" customFormat="false" ht="11.25" hidden="false" customHeight="true" outlineLevel="0" collapsed="false">
      <c r="A403" s="89"/>
      <c r="B403" s="89"/>
      <c r="C403" s="89"/>
      <c r="D403" s="183"/>
      <c r="E403" s="152"/>
      <c r="F403" s="151"/>
      <c r="G403" s="151"/>
      <c r="H403" s="151"/>
      <c r="I403" s="151"/>
      <c r="J403" s="152"/>
      <c r="K403" s="152"/>
      <c r="L403" s="152"/>
      <c r="M403" s="152"/>
      <c r="N403" s="150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</row>
    <row r="404" customFormat="false" ht="11.25" hidden="false" customHeight="true" outlineLevel="0" collapsed="false">
      <c r="A404" s="89"/>
      <c r="B404" s="89"/>
      <c r="C404" s="89"/>
      <c r="D404" s="183"/>
      <c r="E404" s="152"/>
      <c r="F404" s="151"/>
      <c r="G404" s="151"/>
      <c r="H404" s="151"/>
      <c r="I404" s="151"/>
      <c r="J404" s="152"/>
      <c r="K404" s="152"/>
      <c r="L404" s="152"/>
      <c r="M404" s="152"/>
      <c r="N404" s="150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</row>
    <row r="405" customFormat="false" ht="11.25" hidden="false" customHeight="true" outlineLevel="0" collapsed="false">
      <c r="A405" s="89"/>
      <c r="B405" s="89"/>
      <c r="C405" s="89"/>
      <c r="D405" s="183"/>
      <c r="E405" s="152"/>
      <c r="F405" s="151"/>
      <c r="G405" s="151"/>
      <c r="H405" s="151"/>
      <c r="I405" s="151"/>
      <c r="J405" s="152"/>
      <c r="K405" s="152"/>
      <c r="L405" s="152"/>
      <c r="M405" s="152"/>
      <c r="N405" s="150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</row>
    <row r="406" customFormat="false" ht="11.25" hidden="false" customHeight="true" outlineLevel="0" collapsed="false">
      <c r="A406" s="89"/>
      <c r="B406" s="89"/>
      <c r="C406" s="89"/>
      <c r="D406" s="183"/>
      <c r="E406" s="152"/>
      <c r="F406" s="151"/>
      <c r="G406" s="151"/>
      <c r="H406" s="151"/>
      <c r="I406" s="151"/>
      <c r="J406" s="152"/>
      <c r="K406" s="152"/>
      <c r="L406" s="152"/>
      <c r="M406" s="152"/>
      <c r="N406" s="150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</row>
    <row r="407" customFormat="false" ht="11.25" hidden="false" customHeight="true" outlineLevel="0" collapsed="false">
      <c r="A407" s="89"/>
      <c r="B407" s="89"/>
      <c r="C407" s="89"/>
      <c r="D407" s="183"/>
      <c r="E407" s="152"/>
      <c r="F407" s="151"/>
      <c r="G407" s="151"/>
      <c r="H407" s="151"/>
      <c r="I407" s="151"/>
      <c r="J407" s="152"/>
      <c r="K407" s="152"/>
      <c r="L407" s="152"/>
      <c r="M407" s="152"/>
      <c r="N407" s="150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</row>
    <row r="408" customFormat="false" ht="11.25" hidden="false" customHeight="true" outlineLevel="0" collapsed="false">
      <c r="A408" s="89"/>
      <c r="B408" s="89"/>
      <c r="C408" s="89"/>
      <c r="D408" s="183"/>
      <c r="E408" s="152"/>
      <c r="F408" s="151"/>
      <c r="G408" s="151"/>
      <c r="H408" s="151"/>
      <c r="I408" s="151"/>
      <c r="J408" s="152"/>
      <c r="K408" s="152"/>
      <c r="L408" s="152"/>
      <c r="M408" s="152"/>
      <c r="N408" s="150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</row>
    <row r="409" customFormat="false" ht="11.25" hidden="false" customHeight="true" outlineLevel="0" collapsed="false">
      <c r="A409" s="89"/>
      <c r="B409" s="89"/>
      <c r="C409" s="89"/>
      <c r="D409" s="183"/>
      <c r="E409" s="152"/>
      <c r="F409" s="151"/>
      <c r="G409" s="151"/>
      <c r="H409" s="151"/>
      <c r="I409" s="151"/>
      <c r="J409" s="152"/>
      <c r="K409" s="152"/>
      <c r="L409" s="152"/>
      <c r="M409" s="152"/>
      <c r="N409" s="150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</row>
    <row r="410" customFormat="false" ht="11.25" hidden="false" customHeight="true" outlineLevel="0" collapsed="false">
      <c r="A410" s="89"/>
      <c r="B410" s="89"/>
      <c r="C410" s="89"/>
      <c r="D410" s="183"/>
      <c r="E410" s="152"/>
      <c r="F410" s="151"/>
      <c r="G410" s="151"/>
      <c r="H410" s="151"/>
      <c r="I410" s="151"/>
      <c r="J410" s="152"/>
      <c r="K410" s="152"/>
      <c r="L410" s="152"/>
      <c r="M410" s="152"/>
      <c r="N410" s="150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</row>
    <row r="411" customFormat="false" ht="11.25" hidden="false" customHeight="true" outlineLevel="0" collapsed="false">
      <c r="A411" s="89"/>
      <c r="B411" s="89"/>
      <c r="C411" s="89"/>
      <c r="D411" s="183"/>
      <c r="E411" s="152"/>
      <c r="F411" s="151"/>
      <c r="G411" s="151"/>
      <c r="H411" s="151"/>
      <c r="I411" s="151"/>
      <c r="J411" s="152"/>
      <c r="K411" s="152"/>
      <c r="L411" s="152"/>
      <c r="M411" s="152"/>
      <c r="N411" s="150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</row>
    <row r="412" customFormat="false" ht="11.25" hidden="false" customHeight="true" outlineLevel="0" collapsed="false">
      <c r="A412" s="89"/>
      <c r="B412" s="89"/>
      <c r="C412" s="89"/>
      <c r="D412" s="183"/>
      <c r="E412" s="152"/>
      <c r="F412" s="151"/>
      <c r="G412" s="151"/>
      <c r="H412" s="151"/>
      <c r="I412" s="151"/>
      <c r="J412" s="152"/>
      <c r="K412" s="152"/>
      <c r="L412" s="152"/>
      <c r="M412" s="152"/>
      <c r="N412" s="150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</row>
    <row r="413" customFormat="false" ht="11.25" hidden="false" customHeight="true" outlineLevel="0" collapsed="false">
      <c r="A413" s="89"/>
      <c r="B413" s="89"/>
      <c r="C413" s="89"/>
      <c r="D413" s="183"/>
      <c r="E413" s="152"/>
      <c r="F413" s="151"/>
      <c r="G413" s="151"/>
      <c r="H413" s="151"/>
      <c r="I413" s="151"/>
      <c r="J413" s="152"/>
      <c r="K413" s="152"/>
      <c r="L413" s="152"/>
      <c r="M413" s="152"/>
      <c r="N413" s="150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</row>
    <row r="414" customFormat="false" ht="11.25" hidden="false" customHeight="true" outlineLevel="0" collapsed="false">
      <c r="A414" s="89"/>
      <c r="B414" s="89"/>
      <c r="C414" s="89"/>
      <c r="D414" s="183"/>
      <c r="E414" s="152"/>
      <c r="F414" s="151"/>
      <c r="G414" s="151"/>
      <c r="H414" s="151"/>
      <c r="I414" s="151"/>
      <c r="J414" s="152"/>
      <c r="K414" s="152"/>
      <c r="L414" s="152"/>
      <c r="M414" s="152"/>
      <c r="N414" s="150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</row>
    <row r="415" customFormat="false" ht="11.25" hidden="false" customHeight="true" outlineLevel="0" collapsed="false">
      <c r="A415" s="89"/>
      <c r="B415" s="89"/>
      <c r="C415" s="89"/>
      <c r="D415" s="183"/>
      <c r="E415" s="152"/>
      <c r="F415" s="151"/>
      <c r="G415" s="151"/>
      <c r="H415" s="151"/>
      <c r="I415" s="151"/>
      <c r="J415" s="152"/>
      <c r="K415" s="152"/>
      <c r="L415" s="152"/>
      <c r="M415" s="152"/>
      <c r="N415" s="150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</row>
    <row r="416" customFormat="false" ht="11.25" hidden="false" customHeight="true" outlineLevel="0" collapsed="false">
      <c r="A416" s="89"/>
      <c r="B416" s="89"/>
      <c r="C416" s="89"/>
      <c r="D416" s="183"/>
      <c r="E416" s="152"/>
      <c r="F416" s="151"/>
      <c r="G416" s="151"/>
      <c r="H416" s="151"/>
      <c r="I416" s="151"/>
      <c r="J416" s="152"/>
      <c r="K416" s="152"/>
      <c r="L416" s="152"/>
      <c r="M416" s="152"/>
      <c r="N416" s="150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</row>
    <row r="417" customFormat="false" ht="11.25" hidden="false" customHeight="true" outlineLevel="0" collapsed="false">
      <c r="A417" s="89"/>
      <c r="B417" s="89"/>
      <c r="C417" s="89"/>
      <c r="D417" s="183"/>
      <c r="E417" s="152"/>
      <c r="F417" s="151"/>
      <c r="G417" s="151"/>
      <c r="H417" s="151"/>
      <c r="I417" s="151"/>
      <c r="J417" s="152"/>
      <c r="K417" s="152"/>
      <c r="L417" s="152"/>
      <c r="M417" s="152"/>
      <c r="N417" s="150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</row>
    <row r="418" customFormat="false" ht="11.25" hidden="false" customHeight="true" outlineLevel="0" collapsed="false">
      <c r="A418" s="89"/>
      <c r="B418" s="89"/>
      <c r="C418" s="89"/>
      <c r="D418" s="183"/>
      <c r="E418" s="152"/>
      <c r="F418" s="151"/>
      <c r="G418" s="151"/>
      <c r="H418" s="151"/>
      <c r="I418" s="151"/>
      <c r="J418" s="152"/>
      <c r="K418" s="152"/>
      <c r="L418" s="152"/>
      <c r="M418" s="152"/>
      <c r="N418" s="150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</row>
    <row r="419" customFormat="false" ht="11.25" hidden="false" customHeight="true" outlineLevel="0" collapsed="false">
      <c r="A419" s="89"/>
      <c r="B419" s="89"/>
      <c r="C419" s="89"/>
      <c r="D419" s="183"/>
      <c r="E419" s="152"/>
      <c r="F419" s="151"/>
      <c r="G419" s="151"/>
      <c r="H419" s="151"/>
      <c r="I419" s="151"/>
      <c r="J419" s="152"/>
      <c r="K419" s="152"/>
      <c r="L419" s="152"/>
      <c r="M419" s="152"/>
      <c r="N419" s="150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</row>
    <row r="420" customFormat="false" ht="11.25" hidden="false" customHeight="true" outlineLevel="0" collapsed="false">
      <c r="A420" s="89"/>
      <c r="B420" s="89"/>
      <c r="C420" s="89"/>
      <c r="D420" s="183"/>
      <c r="E420" s="152"/>
      <c r="F420" s="151"/>
      <c r="G420" s="151"/>
      <c r="H420" s="151"/>
      <c r="I420" s="151"/>
      <c r="J420" s="152"/>
      <c r="K420" s="152"/>
      <c r="L420" s="152"/>
      <c r="M420" s="152"/>
      <c r="N420" s="150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</row>
    <row r="421" customFormat="false" ht="11.25" hidden="false" customHeight="true" outlineLevel="0" collapsed="false">
      <c r="A421" s="89"/>
      <c r="B421" s="89"/>
      <c r="C421" s="89"/>
      <c r="D421" s="183"/>
      <c r="E421" s="152"/>
      <c r="F421" s="151"/>
      <c r="G421" s="151"/>
      <c r="H421" s="151"/>
      <c r="I421" s="151"/>
      <c r="J421" s="152"/>
      <c r="K421" s="152"/>
      <c r="L421" s="152"/>
      <c r="M421" s="152"/>
      <c r="N421" s="150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</row>
    <row r="422" customFormat="false" ht="11.25" hidden="false" customHeight="true" outlineLevel="0" collapsed="false">
      <c r="A422" s="89"/>
      <c r="B422" s="89"/>
      <c r="C422" s="89"/>
      <c r="D422" s="183"/>
      <c r="E422" s="152"/>
      <c r="F422" s="151"/>
      <c r="G422" s="151"/>
      <c r="H422" s="151"/>
      <c r="I422" s="151"/>
      <c r="J422" s="152"/>
      <c r="K422" s="152"/>
      <c r="L422" s="152"/>
      <c r="M422" s="152"/>
      <c r="N422" s="150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</row>
    <row r="423" customFormat="false" ht="11.25" hidden="false" customHeight="true" outlineLevel="0" collapsed="false">
      <c r="A423" s="89"/>
      <c r="B423" s="89"/>
      <c r="C423" s="89"/>
      <c r="D423" s="183"/>
      <c r="E423" s="152"/>
      <c r="F423" s="151"/>
      <c r="G423" s="151"/>
      <c r="H423" s="151"/>
      <c r="I423" s="151"/>
      <c r="J423" s="152"/>
      <c r="K423" s="152"/>
      <c r="L423" s="152"/>
      <c r="M423" s="152"/>
      <c r="N423" s="150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</row>
    <row r="424" customFormat="false" ht="11.25" hidden="false" customHeight="true" outlineLevel="0" collapsed="false">
      <c r="A424" s="89"/>
      <c r="B424" s="89"/>
      <c r="C424" s="89"/>
      <c r="D424" s="183"/>
      <c r="E424" s="152"/>
      <c r="F424" s="151"/>
      <c r="G424" s="151"/>
      <c r="H424" s="151"/>
      <c r="I424" s="151"/>
      <c r="J424" s="152"/>
      <c r="K424" s="152"/>
      <c r="L424" s="152"/>
      <c r="M424" s="152"/>
      <c r="N424" s="150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</row>
    <row r="425" customFormat="false" ht="11.25" hidden="false" customHeight="true" outlineLevel="0" collapsed="false">
      <c r="A425" s="89"/>
      <c r="B425" s="89"/>
      <c r="C425" s="89"/>
      <c r="D425" s="183"/>
      <c r="E425" s="152"/>
      <c r="F425" s="151"/>
      <c r="G425" s="151"/>
      <c r="H425" s="151"/>
      <c r="I425" s="151"/>
      <c r="J425" s="152"/>
      <c r="K425" s="152"/>
      <c r="L425" s="152"/>
      <c r="M425" s="152"/>
      <c r="N425" s="150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</row>
    <row r="426" customFormat="false" ht="11.25" hidden="false" customHeight="true" outlineLevel="0" collapsed="false">
      <c r="A426" s="89"/>
      <c r="B426" s="89"/>
      <c r="C426" s="89"/>
      <c r="D426" s="183"/>
      <c r="E426" s="152"/>
      <c r="F426" s="151"/>
      <c r="G426" s="151"/>
      <c r="H426" s="151"/>
      <c r="I426" s="151"/>
      <c r="J426" s="152"/>
      <c r="K426" s="152"/>
      <c r="L426" s="152"/>
      <c r="M426" s="152"/>
      <c r="N426" s="150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</row>
    <row r="427" customFormat="false" ht="11.25" hidden="false" customHeight="true" outlineLevel="0" collapsed="false">
      <c r="A427" s="89"/>
      <c r="B427" s="89"/>
      <c r="C427" s="89"/>
      <c r="D427" s="183"/>
      <c r="E427" s="152"/>
      <c r="F427" s="151"/>
      <c r="G427" s="151"/>
      <c r="H427" s="151"/>
      <c r="I427" s="151"/>
      <c r="J427" s="152"/>
      <c r="K427" s="152"/>
      <c r="L427" s="152"/>
      <c r="M427" s="152"/>
      <c r="N427" s="150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</row>
    <row r="428" customFormat="false" ht="11.25" hidden="false" customHeight="true" outlineLevel="0" collapsed="false">
      <c r="A428" s="89"/>
      <c r="B428" s="89"/>
      <c r="C428" s="89"/>
      <c r="D428" s="183"/>
      <c r="E428" s="152"/>
      <c r="F428" s="151"/>
      <c r="G428" s="151"/>
      <c r="H428" s="151"/>
      <c r="I428" s="151"/>
      <c r="J428" s="152"/>
      <c r="K428" s="152"/>
      <c r="L428" s="152"/>
      <c r="M428" s="152"/>
      <c r="N428" s="150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</row>
    <row r="429" customFormat="false" ht="11.25" hidden="false" customHeight="true" outlineLevel="0" collapsed="false">
      <c r="A429" s="89"/>
      <c r="B429" s="89"/>
      <c r="C429" s="89"/>
      <c r="D429" s="183"/>
      <c r="E429" s="152"/>
      <c r="F429" s="151"/>
      <c r="G429" s="151"/>
      <c r="H429" s="151"/>
      <c r="I429" s="151"/>
      <c r="J429" s="152"/>
      <c r="K429" s="152"/>
      <c r="L429" s="152"/>
      <c r="M429" s="152"/>
      <c r="N429" s="150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</row>
    <row r="430" customFormat="false" ht="11.25" hidden="false" customHeight="true" outlineLevel="0" collapsed="false">
      <c r="A430" s="89"/>
      <c r="B430" s="89"/>
      <c r="C430" s="89"/>
      <c r="D430" s="183"/>
      <c r="E430" s="152"/>
      <c r="F430" s="151"/>
      <c r="G430" s="151"/>
      <c r="H430" s="151"/>
      <c r="I430" s="151"/>
      <c r="J430" s="152"/>
      <c r="K430" s="152"/>
      <c r="L430" s="152"/>
      <c r="M430" s="152"/>
      <c r="N430" s="150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</row>
    <row r="431" customFormat="false" ht="11.25" hidden="false" customHeight="true" outlineLevel="0" collapsed="false">
      <c r="A431" s="89"/>
      <c r="B431" s="89"/>
      <c r="C431" s="89"/>
      <c r="D431" s="183"/>
      <c r="E431" s="152"/>
      <c r="F431" s="151"/>
      <c r="G431" s="151"/>
      <c r="H431" s="151"/>
      <c r="I431" s="151"/>
      <c r="J431" s="152"/>
      <c r="K431" s="152"/>
      <c r="L431" s="152"/>
      <c r="M431" s="152"/>
      <c r="N431" s="150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</row>
    <row r="432" customFormat="false" ht="11.25" hidden="false" customHeight="true" outlineLevel="0" collapsed="false">
      <c r="A432" s="89"/>
      <c r="B432" s="89"/>
      <c r="C432" s="89"/>
      <c r="D432" s="183"/>
      <c r="E432" s="152"/>
      <c r="F432" s="151"/>
      <c r="G432" s="151"/>
      <c r="H432" s="151"/>
      <c r="I432" s="151"/>
      <c r="J432" s="152"/>
      <c r="K432" s="152"/>
      <c r="L432" s="152"/>
      <c r="M432" s="152"/>
      <c r="N432" s="150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</row>
    <row r="433" customFormat="false" ht="11.25" hidden="false" customHeight="true" outlineLevel="0" collapsed="false">
      <c r="A433" s="89"/>
      <c r="B433" s="89"/>
      <c r="C433" s="89"/>
      <c r="D433" s="183"/>
      <c r="E433" s="152"/>
      <c r="F433" s="151"/>
      <c r="G433" s="151"/>
      <c r="H433" s="151"/>
      <c r="I433" s="151"/>
      <c r="J433" s="152"/>
      <c r="K433" s="152"/>
      <c r="L433" s="152"/>
      <c r="M433" s="152"/>
      <c r="N433" s="150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</row>
    <row r="434" customFormat="false" ht="11.25" hidden="false" customHeight="true" outlineLevel="0" collapsed="false">
      <c r="A434" s="89"/>
      <c r="B434" s="89"/>
      <c r="C434" s="89"/>
      <c r="D434" s="183"/>
      <c r="E434" s="152"/>
      <c r="F434" s="151"/>
      <c r="G434" s="151"/>
      <c r="H434" s="151"/>
      <c r="I434" s="151"/>
      <c r="J434" s="152"/>
      <c r="K434" s="152"/>
      <c r="L434" s="152"/>
      <c r="M434" s="152"/>
      <c r="N434" s="150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</row>
    <row r="435" customFormat="false" ht="11.25" hidden="false" customHeight="true" outlineLevel="0" collapsed="false">
      <c r="A435" s="89"/>
      <c r="B435" s="89"/>
      <c r="C435" s="89"/>
      <c r="D435" s="183"/>
      <c r="E435" s="152"/>
      <c r="F435" s="151"/>
      <c r="G435" s="151"/>
      <c r="H435" s="151"/>
      <c r="I435" s="151"/>
      <c r="J435" s="152"/>
      <c r="K435" s="152"/>
      <c r="L435" s="152"/>
      <c r="M435" s="152"/>
      <c r="N435" s="150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</row>
    <row r="436" customFormat="false" ht="11.25" hidden="false" customHeight="true" outlineLevel="0" collapsed="false">
      <c r="A436" s="89"/>
      <c r="B436" s="89"/>
      <c r="C436" s="89"/>
      <c r="D436" s="183"/>
      <c r="E436" s="152"/>
      <c r="F436" s="151"/>
      <c r="G436" s="151"/>
      <c r="H436" s="151"/>
      <c r="I436" s="151"/>
      <c r="J436" s="152"/>
      <c r="K436" s="152"/>
      <c r="L436" s="152"/>
      <c r="M436" s="152"/>
      <c r="N436" s="150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</row>
    <row r="437" customFormat="false" ht="11.25" hidden="false" customHeight="true" outlineLevel="0" collapsed="false">
      <c r="A437" s="89"/>
      <c r="B437" s="89"/>
      <c r="C437" s="89"/>
      <c r="D437" s="183"/>
      <c r="E437" s="152"/>
      <c r="F437" s="151"/>
      <c r="G437" s="151"/>
      <c r="H437" s="151"/>
      <c r="I437" s="151"/>
      <c r="J437" s="152"/>
      <c r="K437" s="152"/>
      <c r="L437" s="152"/>
      <c r="M437" s="152"/>
      <c r="N437" s="150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</row>
    <row r="438" customFormat="false" ht="11.25" hidden="false" customHeight="true" outlineLevel="0" collapsed="false">
      <c r="A438" s="89"/>
      <c r="B438" s="89"/>
      <c r="C438" s="89"/>
      <c r="D438" s="183"/>
      <c r="E438" s="152"/>
      <c r="F438" s="151"/>
      <c r="G438" s="151"/>
      <c r="H438" s="151"/>
      <c r="I438" s="151"/>
      <c r="J438" s="152"/>
      <c r="K438" s="152"/>
      <c r="L438" s="152"/>
      <c r="M438" s="152"/>
      <c r="N438" s="150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</row>
    <row r="439" customFormat="false" ht="11.25" hidden="false" customHeight="true" outlineLevel="0" collapsed="false">
      <c r="A439" s="89"/>
      <c r="B439" s="89"/>
      <c r="C439" s="89"/>
      <c r="D439" s="183"/>
      <c r="E439" s="152"/>
      <c r="F439" s="151"/>
      <c r="G439" s="151"/>
      <c r="H439" s="151"/>
      <c r="I439" s="151"/>
      <c r="J439" s="152"/>
      <c r="K439" s="152"/>
      <c r="L439" s="152"/>
      <c r="M439" s="152"/>
      <c r="N439" s="150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</row>
    <row r="440" customFormat="false" ht="11.25" hidden="false" customHeight="true" outlineLevel="0" collapsed="false">
      <c r="A440" s="89"/>
      <c r="B440" s="89"/>
      <c r="C440" s="89"/>
      <c r="D440" s="183"/>
      <c r="E440" s="152"/>
      <c r="F440" s="151"/>
      <c r="G440" s="151"/>
      <c r="H440" s="151"/>
      <c r="I440" s="151"/>
      <c r="J440" s="152"/>
      <c r="K440" s="152"/>
      <c r="L440" s="152"/>
      <c r="M440" s="152"/>
      <c r="N440" s="150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</row>
    <row r="441" customFormat="false" ht="11.25" hidden="false" customHeight="true" outlineLevel="0" collapsed="false">
      <c r="A441" s="89"/>
      <c r="B441" s="89"/>
      <c r="C441" s="89"/>
      <c r="D441" s="183"/>
      <c r="E441" s="152"/>
      <c r="F441" s="151"/>
      <c r="G441" s="151"/>
      <c r="H441" s="151"/>
      <c r="I441" s="151"/>
      <c r="J441" s="152"/>
      <c r="K441" s="152"/>
      <c r="L441" s="152"/>
      <c r="M441" s="152"/>
      <c r="N441" s="150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</row>
    <row r="442" customFormat="false" ht="11.25" hidden="false" customHeight="true" outlineLevel="0" collapsed="false">
      <c r="A442" s="89"/>
      <c r="B442" s="89"/>
      <c r="C442" s="89"/>
      <c r="D442" s="183"/>
      <c r="E442" s="152"/>
      <c r="F442" s="151"/>
      <c r="G442" s="151"/>
      <c r="H442" s="151"/>
      <c r="I442" s="151"/>
      <c r="J442" s="152"/>
      <c r="K442" s="152"/>
      <c r="L442" s="152"/>
      <c r="M442" s="152"/>
      <c r="N442" s="150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</row>
    <row r="443" customFormat="false" ht="11.25" hidden="false" customHeight="true" outlineLevel="0" collapsed="false">
      <c r="A443" s="89"/>
      <c r="B443" s="89"/>
      <c r="C443" s="89"/>
      <c r="D443" s="183"/>
      <c r="E443" s="152"/>
      <c r="F443" s="151"/>
      <c r="G443" s="151"/>
      <c r="H443" s="151"/>
      <c r="I443" s="151"/>
      <c r="J443" s="152"/>
      <c r="K443" s="152"/>
      <c r="L443" s="152"/>
      <c r="M443" s="152"/>
      <c r="N443" s="150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</row>
    <row r="444" customFormat="false" ht="11.25" hidden="false" customHeight="true" outlineLevel="0" collapsed="false">
      <c r="A444" s="89"/>
      <c r="B444" s="89"/>
      <c r="C444" s="89"/>
      <c r="D444" s="183"/>
      <c r="E444" s="152"/>
      <c r="F444" s="151"/>
      <c r="G444" s="151"/>
      <c r="H444" s="151"/>
      <c r="I444" s="151"/>
      <c r="J444" s="152"/>
      <c r="K444" s="152"/>
      <c r="L444" s="152"/>
      <c r="M444" s="152"/>
      <c r="N444" s="150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</row>
    <row r="445" customFormat="false" ht="11.25" hidden="false" customHeight="true" outlineLevel="0" collapsed="false">
      <c r="A445" s="89"/>
      <c r="B445" s="89"/>
      <c r="C445" s="89"/>
      <c r="D445" s="183"/>
      <c r="E445" s="152"/>
      <c r="F445" s="151"/>
      <c r="G445" s="151"/>
      <c r="H445" s="151"/>
      <c r="I445" s="151"/>
      <c r="J445" s="152"/>
      <c r="K445" s="152"/>
      <c r="L445" s="152"/>
      <c r="M445" s="152"/>
      <c r="N445" s="150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</row>
    <row r="446" customFormat="false" ht="11.25" hidden="false" customHeight="true" outlineLevel="0" collapsed="false">
      <c r="A446" s="89"/>
      <c r="B446" s="89"/>
      <c r="C446" s="89"/>
      <c r="D446" s="183"/>
      <c r="E446" s="152"/>
      <c r="F446" s="151"/>
      <c r="G446" s="151"/>
      <c r="H446" s="151"/>
      <c r="I446" s="151"/>
      <c r="J446" s="152"/>
      <c r="K446" s="152"/>
      <c r="L446" s="152"/>
      <c r="M446" s="152"/>
      <c r="N446" s="150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</row>
    <row r="447" customFormat="false" ht="11.25" hidden="false" customHeight="true" outlineLevel="0" collapsed="false">
      <c r="A447" s="89"/>
      <c r="B447" s="89"/>
      <c r="C447" s="89"/>
      <c r="D447" s="183"/>
      <c r="E447" s="152"/>
      <c r="F447" s="151"/>
      <c r="G447" s="151"/>
      <c r="H447" s="151"/>
      <c r="I447" s="151"/>
      <c r="J447" s="152"/>
      <c r="K447" s="152"/>
      <c r="L447" s="152"/>
      <c r="M447" s="152"/>
      <c r="N447" s="150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</row>
    <row r="448" customFormat="false" ht="11.25" hidden="false" customHeight="true" outlineLevel="0" collapsed="false">
      <c r="A448" s="89"/>
      <c r="B448" s="89"/>
      <c r="C448" s="89"/>
      <c r="D448" s="183"/>
      <c r="E448" s="152"/>
      <c r="F448" s="151"/>
      <c r="G448" s="151"/>
      <c r="H448" s="151"/>
      <c r="I448" s="151"/>
      <c r="J448" s="152"/>
      <c r="K448" s="152"/>
      <c r="L448" s="152"/>
      <c r="M448" s="152"/>
      <c r="N448" s="150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</row>
    <row r="449" customFormat="false" ht="11.25" hidden="false" customHeight="true" outlineLevel="0" collapsed="false">
      <c r="A449" s="89"/>
      <c r="B449" s="89"/>
      <c r="C449" s="89"/>
      <c r="D449" s="183"/>
      <c r="E449" s="152"/>
      <c r="F449" s="151"/>
      <c r="G449" s="151"/>
      <c r="H449" s="151"/>
      <c r="I449" s="151"/>
      <c r="J449" s="152"/>
      <c r="K449" s="152"/>
      <c r="L449" s="152"/>
      <c r="M449" s="152"/>
      <c r="N449" s="150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</row>
    <row r="450" customFormat="false" ht="11.25" hidden="false" customHeight="true" outlineLevel="0" collapsed="false">
      <c r="A450" s="89"/>
      <c r="B450" s="89"/>
      <c r="C450" s="89"/>
      <c r="D450" s="183"/>
      <c r="E450" s="152"/>
      <c r="F450" s="151"/>
      <c r="G450" s="151"/>
      <c r="H450" s="151"/>
      <c r="I450" s="151"/>
      <c r="J450" s="152"/>
      <c r="K450" s="152"/>
      <c r="L450" s="152"/>
      <c r="M450" s="152"/>
      <c r="N450" s="150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</row>
    <row r="451" customFormat="false" ht="11.25" hidden="false" customHeight="true" outlineLevel="0" collapsed="false">
      <c r="A451" s="89"/>
      <c r="B451" s="89"/>
      <c r="C451" s="89"/>
      <c r="D451" s="183"/>
      <c r="E451" s="152"/>
      <c r="F451" s="151"/>
      <c r="G451" s="151"/>
      <c r="H451" s="151"/>
      <c r="I451" s="151"/>
      <c r="J451" s="152"/>
      <c r="K451" s="152"/>
      <c r="L451" s="152"/>
      <c r="M451" s="152"/>
      <c r="N451" s="150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</row>
    <row r="452" customFormat="false" ht="11.25" hidden="false" customHeight="true" outlineLevel="0" collapsed="false">
      <c r="A452" s="89"/>
      <c r="B452" s="89"/>
      <c r="C452" s="89"/>
      <c r="D452" s="183"/>
      <c r="E452" s="152"/>
      <c r="F452" s="151"/>
      <c r="G452" s="151"/>
      <c r="H452" s="151"/>
      <c r="I452" s="151"/>
      <c r="J452" s="152"/>
      <c r="K452" s="152"/>
      <c r="L452" s="152"/>
      <c r="M452" s="152"/>
      <c r="N452" s="150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</row>
    <row r="453" customFormat="false" ht="11.25" hidden="false" customHeight="true" outlineLevel="0" collapsed="false">
      <c r="A453" s="89"/>
      <c r="B453" s="89"/>
      <c r="C453" s="89"/>
      <c r="D453" s="183"/>
      <c r="E453" s="152"/>
      <c r="F453" s="151"/>
      <c r="G453" s="151"/>
      <c r="H453" s="151"/>
      <c r="I453" s="151"/>
      <c r="J453" s="152"/>
      <c r="K453" s="152"/>
      <c r="L453" s="152"/>
      <c r="M453" s="152"/>
      <c r="N453" s="150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</row>
    <row r="454" customFormat="false" ht="11.25" hidden="false" customHeight="true" outlineLevel="0" collapsed="false">
      <c r="A454" s="89"/>
      <c r="B454" s="89"/>
      <c r="C454" s="89"/>
      <c r="D454" s="183"/>
      <c r="E454" s="152"/>
      <c r="F454" s="151"/>
      <c r="G454" s="151"/>
      <c r="H454" s="151"/>
      <c r="I454" s="151"/>
      <c r="J454" s="152"/>
      <c r="K454" s="152"/>
      <c r="L454" s="152"/>
      <c r="M454" s="152"/>
      <c r="N454" s="150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</row>
    <row r="455" customFormat="false" ht="11.25" hidden="false" customHeight="true" outlineLevel="0" collapsed="false">
      <c r="A455" s="89"/>
      <c r="B455" s="89"/>
      <c r="C455" s="89"/>
      <c r="D455" s="183"/>
      <c r="E455" s="152"/>
      <c r="F455" s="151"/>
      <c r="G455" s="151"/>
      <c r="H455" s="151"/>
      <c r="I455" s="151"/>
      <c r="J455" s="152"/>
      <c r="K455" s="152"/>
      <c r="L455" s="152"/>
      <c r="M455" s="152"/>
      <c r="N455" s="150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</row>
    <row r="456" customFormat="false" ht="11.25" hidden="false" customHeight="true" outlineLevel="0" collapsed="false">
      <c r="A456" s="89"/>
      <c r="B456" s="89"/>
      <c r="C456" s="89"/>
      <c r="D456" s="183"/>
      <c r="E456" s="152"/>
      <c r="F456" s="151"/>
      <c r="G456" s="151"/>
      <c r="H456" s="151"/>
      <c r="I456" s="151"/>
      <c r="J456" s="152"/>
      <c r="K456" s="152"/>
      <c r="L456" s="152"/>
      <c r="M456" s="152"/>
      <c r="N456" s="150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</row>
    <row r="457" customFormat="false" ht="11.25" hidden="false" customHeight="true" outlineLevel="0" collapsed="false">
      <c r="A457" s="89"/>
      <c r="B457" s="89"/>
      <c r="C457" s="89"/>
      <c r="D457" s="183"/>
      <c r="E457" s="152"/>
      <c r="F457" s="151"/>
      <c r="G457" s="151"/>
      <c r="H457" s="151"/>
      <c r="I457" s="151"/>
      <c r="J457" s="152"/>
      <c r="K457" s="152"/>
      <c r="L457" s="152"/>
      <c r="M457" s="152"/>
      <c r="N457" s="150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</row>
    <row r="458" customFormat="false" ht="11.25" hidden="false" customHeight="true" outlineLevel="0" collapsed="false">
      <c r="A458" s="89"/>
      <c r="B458" s="89"/>
      <c r="C458" s="89"/>
      <c r="D458" s="183"/>
      <c r="E458" s="152"/>
      <c r="F458" s="151"/>
      <c r="G458" s="151"/>
      <c r="H458" s="151"/>
      <c r="I458" s="151"/>
      <c r="J458" s="152"/>
      <c r="K458" s="152"/>
      <c r="L458" s="152"/>
      <c r="M458" s="152"/>
      <c r="N458" s="150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</row>
    <row r="459" customFormat="false" ht="11.25" hidden="false" customHeight="true" outlineLevel="0" collapsed="false">
      <c r="A459" s="89"/>
      <c r="B459" s="89"/>
      <c r="C459" s="89"/>
      <c r="D459" s="183"/>
      <c r="E459" s="152"/>
      <c r="F459" s="151"/>
      <c r="G459" s="151"/>
      <c r="H459" s="151"/>
      <c r="I459" s="151"/>
      <c r="J459" s="152"/>
      <c r="K459" s="152"/>
      <c r="L459" s="152"/>
      <c r="M459" s="152"/>
      <c r="N459" s="150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</row>
    <row r="460" customFormat="false" ht="11.25" hidden="false" customHeight="true" outlineLevel="0" collapsed="false">
      <c r="A460" s="89"/>
      <c r="B460" s="89"/>
      <c r="C460" s="89"/>
      <c r="D460" s="183"/>
      <c r="E460" s="152"/>
      <c r="F460" s="151"/>
      <c r="G460" s="151"/>
      <c r="H460" s="151"/>
      <c r="I460" s="151"/>
      <c r="J460" s="152"/>
      <c r="K460" s="152"/>
      <c r="L460" s="152"/>
      <c r="M460" s="152"/>
      <c r="N460" s="150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</row>
    <row r="461" customFormat="false" ht="11.25" hidden="false" customHeight="true" outlineLevel="0" collapsed="false">
      <c r="A461" s="89"/>
      <c r="B461" s="89"/>
      <c r="C461" s="89"/>
      <c r="D461" s="183"/>
      <c r="E461" s="152"/>
      <c r="F461" s="151"/>
      <c r="G461" s="151"/>
      <c r="H461" s="151"/>
      <c r="I461" s="151"/>
      <c r="J461" s="152"/>
      <c r="K461" s="152"/>
      <c r="L461" s="152"/>
      <c r="M461" s="152"/>
      <c r="N461" s="150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</row>
    <row r="462" customFormat="false" ht="11.25" hidden="false" customHeight="true" outlineLevel="0" collapsed="false">
      <c r="A462" s="89"/>
      <c r="B462" s="89"/>
      <c r="C462" s="89"/>
      <c r="D462" s="183"/>
      <c r="E462" s="152"/>
      <c r="F462" s="151"/>
      <c r="G462" s="151"/>
      <c r="H462" s="151"/>
      <c r="I462" s="151"/>
      <c r="J462" s="152"/>
      <c r="K462" s="152"/>
      <c r="L462" s="152"/>
      <c r="M462" s="152"/>
      <c r="N462" s="150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</row>
    <row r="463" customFormat="false" ht="11.25" hidden="false" customHeight="true" outlineLevel="0" collapsed="false">
      <c r="A463" s="89"/>
      <c r="B463" s="89"/>
      <c r="C463" s="89"/>
      <c r="D463" s="183"/>
      <c r="E463" s="152"/>
      <c r="F463" s="151"/>
      <c r="G463" s="151"/>
      <c r="H463" s="151"/>
      <c r="I463" s="151"/>
      <c r="J463" s="152"/>
      <c r="K463" s="152"/>
      <c r="L463" s="152"/>
      <c r="M463" s="152"/>
      <c r="N463" s="150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</row>
    <row r="464" customFormat="false" ht="11.25" hidden="false" customHeight="true" outlineLevel="0" collapsed="false">
      <c r="A464" s="89"/>
      <c r="B464" s="89"/>
      <c r="C464" s="89"/>
      <c r="D464" s="183"/>
      <c r="E464" s="152"/>
      <c r="F464" s="151"/>
      <c r="G464" s="151"/>
      <c r="H464" s="151"/>
      <c r="I464" s="151"/>
      <c r="J464" s="152"/>
      <c r="K464" s="152"/>
      <c r="L464" s="152"/>
      <c r="M464" s="152"/>
      <c r="N464" s="150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</row>
    <row r="465" customFormat="false" ht="11.25" hidden="false" customHeight="true" outlineLevel="0" collapsed="false">
      <c r="A465" s="89"/>
      <c r="B465" s="89"/>
      <c r="C465" s="89"/>
      <c r="D465" s="183"/>
      <c r="E465" s="152"/>
      <c r="F465" s="151"/>
      <c r="G465" s="151"/>
      <c r="H465" s="151"/>
      <c r="I465" s="151"/>
      <c r="J465" s="152"/>
      <c r="K465" s="152"/>
      <c r="L465" s="152"/>
      <c r="M465" s="152"/>
      <c r="N465" s="150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</row>
    <row r="466" customFormat="false" ht="11.25" hidden="false" customHeight="true" outlineLevel="0" collapsed="false">
      <c r="A466" s="89"/>
      <c r="B466" s="89"/>
      <c r="C466" s="89"/>
      <c r="D466" s="183"/>
      <c r="E466" s="152"/>
      <c r="F466" s="151"/>
      <c r="G466" s="151"/>
      <c r="H466" s="151"/>
      <c r="I466" s="151"/>
      <c r="J466" s="152"/>
      <c r="K466" s="152"/>
      <c r="L466" s="152"/>
      <c r="M466" s="152"/>
      <c r="N466" s="150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</row>
    <row r="467" customFormat="false" ht="11.25" hidden="false" customHeight="true" outlineLevel="0" collapsed="false">
      <c r="A467" s="89"/>
      <c r="B467" s="89"/>
      <c r="C467" s="89"/>
      <c r="D467" s="183"/>
      <c r="E467" s="152"/>
      <c r="F467" s="151"/>
      <c r="G467" s="151"/>
      <c r="H467" s="151"/>
      <c r="I467" s="151"/>
      <c r="J467" s="152"/>
      <c r="K467" s="152"/>
      <c r="L467" s="152"/>
      <c r="M467" s="152"/>
      <c r="N467" s="150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</row>
    <row r="468" customFormat="false" ht="11.25" hidden="false" customHeight="true" outlineLevel="0" collapsed="false">
      <c r="A468" s="89"/>
      <c r="B468" s="89"/>
      <c r="C468" s="89"/>
      <c r="D468" s="183"/>
      <c r="E468" s="152"/>
      <c r="F468" s="151"/>
      <c r="G468" s="151"/>
      <c r="H468" s="151"/>
      <c r="I468" s="151"/>
      <c r="J468" s="152"/>
      <c r="K468" s="152"/>
      <c r="L468" s="152"/>
      <c r="M468" s="152"/>
      <c r="N468" s="150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</row>
    <row r="469" customFormat="false" ht="11.25" hidden="false" customHeight="true" outlineLevel="0" collapsed="false">
      <c r="A469" s="89"/>
      <c r="B469" s="89"/>
      <c r="C469" s="89"/>
      <c r="D469" s="183"/>
      <c r="E469" s="152"/>
      <c r="F469" s="151"/>
      <c r="G469" s="151"/>
      <c r="H469" s="151"/>
      <c r="I469" s="151"/>
      <c r="J469" s="152"/>
      <c r="K469" s="152"/>
      <c r="L469" s="152"/>
      <c r="M469" s="152"/>
      <c r="N469" s="150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</row>
    <row r="470" customFormat="false" ht="11.25" hidden="false" customHeight="true" outlineLevel="0" collapsed="false">
      <c r="A470" s="89"/>
      <c r="B470" s="89"/>
      <c r="C470" s="89"/>
      <c r="D470" s="183"/>
      <c r="E470" s="152"/>
      <c r="F470" s="151"/>
      <c r="G470" s="151"/>
      <c r="H470" s="151"/>
      <c r="I470" s="151"/>
      <c r="J470" s="152"/>
      <c r="K470" s="152"/>
      <c r="L470" s="152"/>
      <c r="M470" s="152"/>
      <c r="N470" s="150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</row>
    <row r="471" customFormat="false" ht="11.25" hidden="false" customHeight="true" outlineLevel="0" collapsed="false">
      <c r="A471" s="89"/>
      <c r="B471" s="89"/>
      <c r="C471" s="89"/>
      <c r="D471" s="183"/>
      <c r="E471" s="152"/>
      <c r="F471" s="151"/>
      <c r="G471" s="151"/>
      <c r="H471" s="151"/>
      <c r="I471" s="151"/>
      <c r="J471" s="152"/>
      <c r="K471" s="152"/>
      <c r="L471" s="152"/>
      <c r="M471" s="152"/>
      <c r="N471" s="150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</row>
    <row r="472" customFormat="false" ht="11.25" hidden="false" customHeight="true" outlineLevel="0" collapsed="false">
      <c r="A472" s="89"/>
      <c r="B472" s="89"/>
      <c r="C472" s="89"/>
      <c r="D472" s="183"/>
      <c r="E472" s="152"/>
      <c r="F472" s="151"/>
      <c r="G472" s="151"/>
      <c r="H472" s="151"/>
      <c r="I472" s="151"/>
      <c r="J472" s="152"/>
      <c r="K472" s="152"/>
      <c r="L472" s="152"/>
      <c r="M472" s="152"/>
      <c r="N472" s="150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</row>
    <row r="473" customFormat="false" ht="11.25" hidden="false" customHeight="true" outlineLevel="0" collapsed="false">
      <c r="A473" s="89"/>
      <c r="B473" s="89"/>
      <c r="C473" s="89"/>
      <c r="D473" s="183"/>
      <c r="E473" s="152"/>
      <c r="F473" s="151"/>
      <c r="G473" s="151"/>
      <c r="H473" s="151"/>
      <c r="I473" s="151"/>
      <c r="J473" s="152"/>
      <c r="K473" s="152"/>
      <c r="L473" s="152"/>
      <c r="M473" s="152"/>
      <c r="N473" s="150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</row>
    <row r="474" customFormat="false" ht="11.25" hidden="false" customHeight="true" outlineLevel="0" collapsed="false">
      <c r="A474" s="89"/>
      <c r="B474" s="89"/>
      <c r="C474" s="89"/>
      <c r="D474" s="183"/>
      <c r="E474" s="152"/>
      <c r="F474" s="151"/>
      <c r="G474" s="151"/>
      <c r="H474" s="151"/>
      <c r="I474" s="151"/>
      <c r="J474" s="152"/>
      <c r="K474" s="152"/>
      <c r="L474" s="152"/>
      <c r="M474" s="152"/>
      <c r="N474" s="150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</row>
    <row r="475" customFormat="false" ht="11.25" hidden="false" customHeight="true" outlineLevel="0" collapsed="false">
      <c r="A475" s="89"/>
      <c r="B475" s="89"/>
      <c r="C475" s="89"/>
      <c r="D475" s="183"/>
      <c r="E475" s="152"/>
      <c r="F475" s="151"/>
      <c r="G475" s="151"/>
      <c r="H475" s="151"/>
      <c r="I475" s="151"/>
      <c r="J475" s="152"/>
      <c r="K475" s="152"/>
      <c r="L475" s="152"/>
      <c r="M475" s="152"/>
      <c r="N475" s="150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</row>
    <row r="476" customFormat="false" ht="11.25" hidden="false" customHeight="true" outlineLevel="0" collapsed="false">
      <c r="A476" s="89"/>
      <c r="B476" s="89"/>
      <c r="C476" s="89"/>
      <c r="D476" s="183"/>
      <c r="E476" s="152"/>
      <c r="F476" s="151"/>
      <c r="G476" s="151"/>
      <c r="H476" s="151"/>
      <c r="I476" s="151"/>
      <c r="J476" s="152"/>
      <c r="K476" s="152"/>
      <c r="L476" s="152"/>
      <c r="M476" s="152"/>
      <c r="N476" s="150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</row>
    <row r="477" customFormat="false" ht="11.25" hidden="false" customHeight="true" outlineLevel="0" collapsed="false">
      <c r="A477" s="89"/>
      <c r="B477" s="89"/>
      <c r="C477" s="89"/>
      <c r="D477" s="183"/>
      <c r="E477" s="152"/>
      <c r="F477" s="151"/>
      <c r="G477" s="151"/>
      <c r="H477" s="151"/>
      <c r="I477" s="151"/>
      <c r="J477" s="152"/>
      <c r="K477" s="152"/>
      <c r="L477" s="152"/>
      <c r="M477" s="152"/>
      <c r="N477" s="150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</row>
    <row r="478" customFormat="false" ht="11.25" hidden="false" customHeight="true" outlineLevel="0" collapsed="false">
      <c r="A478" s="89"/>
      <c r="B478" s="89"/>
      <c r="C478" s="89"/>
      <c r="D478" s="183"/>
      <c r="E478" s="152"/>
      <c r="F478" s="151"/>
      <c r="G478" s="151"/>
      <c r="H478" s="151"/>
      <c r="I478" s="151"/>
      <c r="J478" s="152"/>
      <c r="K478" s="152"/>
      <c r="L478" s="152"/>
      <c r="M478" s="152"/>
      <c r="N478" s="150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</row>
    <row r="479" customFormat="false" ht="11.25" hidden="false" customHeight="true" outlineLevel="0" collapsed="false">
      <c r="A479" s="89"/>
      <c r="B479" s="89"/>
      <c r="C479" s="89"/>
      <c r="D479" s="183"/>
      <c r="E479" s="152"/>
      <c r="F479" s="151"/>
      <c r="G479" s="151"/>
      <c r="H479" s="151"/>
      <c r="I479" s="151"/>
      <c r="J479" s="152"/>
      <c r="K479" s="152"/>
      <c r="L479" s="152"/>
      <c r="M479" s="152"/>
      <c r="N479" s="150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</row>
    <row r="480" customFormat="false" ht="11.25" hidden="false" customHeight="true" outlineLevel="0" collapsed="false">
      <c r="A480" s="89"/>
      <c r="B480" s="89"/>
      <c r="C480" s="89"/>
      <c r="D480" s="183"/>
      <c r="E480" s="152"/>
      <c r="F480" s="151"/>
      <c r="G480" s="151"/>
      <c r="H480" s="151"/>
      <c r="I480" s="151"/>
      <c r="J480" s="152"/>
      <c r="K480" s="152"/>
      <c r="L480" s="152"/>
      <c r="M480" s="152"/>
      <c r="N480" s="150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</row>
    <row r="481" customFormat="false" ht="11.25" hidden="false" customHeight="true" outlineLevel="0" collapsed="false">
      <c r="A481" s="89"/>
      <c r="B481" s="89"/>
      <c r="C481" s="89"/>
      <c r="D481" s="183"/>
      <c r="E481" s="152"/>
      <c r="F481" s="151"/>
      <c r="G481" s="151"/>
      <c r="H481" s="151"/>
      <c r="I481" s="151"/>
      <c r="J481" s="152"/>
      <c r="K481" s="152"/>
      <c r="L481" s="152"/>
      <c r="M481" s="152"/>
      <c r="N481" s="150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</row>
    <row r="482" customFormat="false" ht="11.25" hidden="false" customHeight="true" outlineLevel="0" collapsed="false">
      <c r="A482" s="89"/>
      <c r="B482" s="89"/>
      <c r="C482" s="89"/>
      <c r="D482" s="183"/>
      <c r="E482" s="152"/>
      <c r="F482" s="151"/>
      <c r="G482" s="151"/>
      <c r="H482" s="151"/>
      <c r="I482" s="151"/>
      <c r="J482" s="152"/>
      <c r="K482" s="152"/>
      <c r="L482" s="152"/>
      <c r="M482" s="152"/>
      <c r="N482" s="150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</row>
    <row r="483" customFormat="false" ht="11.25" hidden="false" customHeight="true" outlineLevel="0" collapsed="false">
      <c r="A483" s="89"/>
      <c r="B483" s="89"/>
      <c r="C483" s="89"/>
      <c r="D483" s="183"/>
      <c r="E483" s="152"/>
      <c r="F483" s="151"/>
      <c r="G483" s="151"/>
      <c r="H483" s="151"/>
      <c r="I483" s="151"/>
      <c r="J483" s="152"/>
      <c r="K483" s="152"/>
      <c r="L483" s="152"/>
      <c r="M483" s="152"/>
      <c r="N483" s="150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</row>
    <row r="484" customFormat="false" ht="11.25" hidden="false" customHeight="true" outlineLevel="0" collapsed="false">
      <c r="A484" s="89"/>
      <c r="B484" s="89"/>
      <c r="C484" s="89"/>
      <c r="D484" s="183"/>
      <c r="E484" s="152"/>
      <c r="F484" s="151"/>
      <c r="G484" s="151"/>
      <c r="H484" s="151"/>
      <c r="I484" s="151"/>
      <c r="J484" s="152"/>
      <c r="K484" s="152"/>
      <c r="L484" s="152"/>
      <c r="M484" s="152"/>
      <c r="N484" s="150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</row>
    <row r="485" customFormat="false" ht="11.25" hidden="false" customHeight="true" outlineLevel="0" collapsed="false">
      <c r="A485" s="89"/>
      <c r="B485" s="89"/>
      <c r="C485" s="89"/>
      <c r="D485" s="183"/>
      <c r="E485" s="152"/>
      <c r="F485" s="151"/>
      <c r="G485" s="151"/>
      <c r="H485" s="151"/>
      <c r="I485" s="151"/>
      <c r="J485" s="152"/>
      <c r="K485" s="152"/>
      <c r="L485" s="152"/>
      <c r="M485" s="152"/>
      <c r="N485" s="150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</row>
    <row r="486" customFormat="false" ht="11.25" hidden="false" customHeight="true" outlineLevel="0" collapsed="false">
      <c r="A486" s="89"/>
      <c r="B486" s="89"/>
      <c r="C486" s="89"/>
      <c r="D486" s="183"/>
      <c r="E486" s="152"/>
      <c r="F486" s="151"/>
      <c r="G486" s="151"/>
      <c r="H486" s="151"/>
      <c r="I486" s="151"/>
      <c r="J486" s="152"/>
      <c r="K486" s="152"/>
      <c r="L486" s="152"/>
      <c r="M486" s="152"/>
      <c r="N486" s="150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</row>
    <row r="487" customFormat="false" ht="11.25" hidden="false" customHeight="true" outlineLevel="0" collapsed="false">
      <c r="A487" s="89"/>
      <c r="B487" s="89"/>
      <c r="C487" s="89"/>
      <c r="D487" s="183"/>
      <c r="E487" s="152"/>
      <c r="F487" s="151"/>
      <c r="G487" s="151"/>
      <c r="H487" s="151"/>
      <c r="I487" s="151"/>
      <c r="J487" s="152"/>
      <c r="K487" s="152"/>
      <c r="L487" s="152"/>
      <c r="M487" s="152"/>
      <c r="N487" s="150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</row>
    <row r="488" customFormat="false" ht="11.25" hidden="false" customHeight="true" outlineLevel="0" collapsed="false">
      <c r="A488" s="89"/>
      <c r="B488" s="89"/>
      <c r="C488" s="89"/>
      <c r="D488" s="183"/>
      <c r="E488" s="152"/>
      <c r="F488" s="151"/>
      <c r="G488" s="151"/>
      <c r="H488" s="151"/>
      <c r="I488" s="151"/>
      <c r="J488" s="152"/>
      <c r="K488" s="152"/>
      <c r="L488" s="152"/>
      <c r="M488" s="152"/>
      <c r="N488" s="150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</row>
    <row r="489" customFormat="false" ht="11.25" hidden="false" customHeight="true" outlineLevel="0" collapsed="false">
      <c r="A489" s="89"/>
      <c r="B489" s="89"/>
      <c r="C489" s="89"/>
      <c r="D489" s="183"/>
      <c r="E489" s="152"/>
      <c r="F489" s="151"/>
      <c r="G489" s="151"/>
      <c r="H489" s="151"/>
      <c r="I489" s="151"/>
      <c r="J489" s="152"/>
      <c r="K489" s="152"/>
      <c r="L489" s="152"/>
      <c r="M489" s="152"/>
      <c r="N489" s="150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</row>
    <row r="490" customFormat="false" ht="11.25" hidden="false" customHeight="true" outlineLevel="0" collapsed="false">
      <c r="A490" s="89"/>
      <c r="B490" s="89"/>
      <c r="C490" s="89"/>
      <c r="D490" s="183"/>
      <c r="E490" s="152"/>
      <c r="F490" s="151"/>
      <c r="G490" s="151"/>
      <c r="H490" s="151"/>
      <c r="I490" s="151"/>
      <c r="J490" s="152"/>
      <c r="K490" s="152"/>
      <c r="L490" s="152"/>
      <c r="M490" s="152"/>
      <c r="N490" s="150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</row>
    <row r="491" customFormat="false" ht="11.25" hidden="false" customHeight="true" outlineLevel="0" collapsed="false">
      <c r="A491" s="89"/>
      <c r="B491" s="89"/>
      <c r="C491" s="89"/>
      <c r="D491" s="183"/>
      <c r="E491" s="152"/>
      <c r="F491" s="151"/>
      <c r="G491" s="151"/>
      <c r="H491" s="151"/>
      <c r="I491" s="151"/>
      <c r="J491" s="152"/>
      <c r="K491" s="152"/>
      <c r="L491" s="152"/>
      <c r="M491" s="152"/>
      <c r="N491" s="150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</row>
    <row r="492" customFormat="false" ht="11.25" hidden="false" customHeight="true" outlineLevel="0" collapsed="false">
      <c r="A492" s="89"/>
      <c r="B492" s="89"/>
      <c r="C492" s="89"/>
      <c r="D492" s="183"/>
      <c r="E492" s="152"/>
      <c r="F492" s="151"/>
      <c r="G492" s="151"/>
      <c r="H492" s="151"/>
      <c r="I492" s="151"/>
      <c r="J492" s="152"/>
      <c r="K492" s="152"/>
      <c r="L492" s="152"/>
      <c r="M492" s="152"/>
      <c r="N492" s="150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</row>
    <row r="493" customFormat="false" ht="11.25" hidden="false" customHeight="true" outlineLevel="0" collapsed="false">
      <c r="A493" s="89"/>
      <c r="B493" s="89"/>
      <c r="C493" s="89"/>
      <c r="D493" s="183"/>
      <c r="E493" s="152"/>
      <c r="F493" s="151"/>
      <c r="G493" s="151"/>
      <c r="H493" s="151"/>
      <c r="I493" s="151"/>
      <c r="J493" s="152"/>
      <c r="K493" s="152"/>
      <c r="L493" s="152"/>
      <c r="M493" s="152"/>
      <c r="N493" s="150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</row>
    <row r="494" customFormat="false" ht="11.25" hidden="false" customHeight="true" outlineLevel="0" collapsed="false">
      <c r="A494" s="89"/>
      <c r="B494" s="89"/>
      <c r="C494" s="89"/>
      <c r="D494" s="183"/>
      <c r="E494" s="152"/>
      <c r="F494" s="151"/>
      <c r="G494" s="151"/>
      <c r="H494" s="151"/>
      <c r="I494" s="151"/>
      <c r="J494" s="152"/>
      <c r="K494" s="152"/>
      <c r="L494" s="152"/>
      <c r="M494" s="152"/>
      <c r="N494" s="150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</row>
    <row r="495" customFormat="false" ht="11.25" hidden="false" customHeight="true" outlineLevel="0" collapsed="false">
      <c r="A495" s="89"/>
      <c r="B495" s="89"/>
      <c r="C495" s="89"/>
      <c r="D495" s="183"/>
      <c r="E495" s="152"/>
      <c r="F495" s="151"/>
      <c r="G495" s="151"/>
      <c r="H495" s="151"/>
      <c r="I495" s="151"/>
      <c r="J495" s="152"/>
      <c r="K495" s="152"/>
      <c r="L495" s="152"/>
      <c r="M495" s="152"/>
      <c r="N495" s="150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</row>
    <row r="496" customFormat="false" ht="11.25" hidden="false" customHeight="true" outlineLevel="0" collapsed="false">
      <c r="A496" s="89"/>
      <c r="B496" s="89"/>
      <c r="C496" s="89"/>
      <c r="D496" s="183"/>
      <c r="E496" s="152"/>
      <c r="F496" s="151"/>
      <c r="G496" s="151"/>
      <c r="H496" s="151"/>
      <c r="I496" s="151"/>
      <c r="J496" s="152"/>
      <c r="K496" s="152"/>
      <c r="L496" s="152"/>
      <c r="M496" s="152"/>
      <c r="N496" s="150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</row>
    <row r="497" customFormat="false" ht="11.25" hidden="false" customHeight="true" outlineLevel="0" collapsed="false">
      <c r="A497" s="89"/>
      <c r="B497" s="89"/>
      <c r="C497" s="89"/>
      <c r="D497" s="183"/>
      <c r="E497" s="152"/>
      <c r="F497" s="151"/>
      <c r="G497" s="151"/>
      <c r="H497" s="151"/>
      <c r="I497" s="151"/>
      <c r="J497" s="152"/>
      <c r="K497" s="152"/>
      <c r="L497" s="152"/>
      <c r="M497" s="152"/>
      <c r="N497" s="150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</row>
    <row r="498" customFormat="false" ht="11.25" hidden="false" customHeight="true" outlineLevel="0" collapsed="false">
      <c r="A498" s="89"/>
      <c r="B498" s="89"/>
      <c r="C498" s="89"/>
      <c r="D498" s="183"/>
      <c r="E498" s="152"/>
      <c r="F498" s="151"/>
      <c r="G498" s="151"/>
      <c r="H498" s="151"/>
      <c r="I498" s="151"/>
      <c r="J498" s="152"/>
      <c r="K498" s="152"/>
      <c r="L498" s="152"/>
      <c r="M498" s="152"/>
      <c r="N498" s="150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</row>
    <row r="499" customFormat="false" ht="11.25" hidden="false" customHeight="true" outlineLevel="0" collapsed="false">
      <c r="A499" s="89"/>
      <c r="B499" s="89"/>
      <c r="C499" s="89"/>
      <c r="D499" s="183"/>
      <c r="E499" s="152"/>
      <c r="F499" s="151"/>
      <c r="G499" s="151"/>
      <c r="H499" s="151"/>
      <c r="I499" s="151"/>
      <c r="J499" s="152"/>
      <c r="K499" s="152"/>
      <c r="L499" s="152"/>
      <c r="M499" s="152"/>
      <c r="N499" s="150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</row>
    <row r="500" customFormat="false" ht="11.25" hidden="false" customHeight="true" outlineLevel="0" collapsed="false">
      <c r="A500" s="89"/>
      <c r="B500" s="89"/>
      <c r="C500" s="89"/>
      <c r="D500" s="183"/>
      <c r="E500" s="152"/>
      <c r="F500" s="151"/>
      <c r="G500" s="151"/>
      <c r="H500" s="151"/>
      <c r="I500" s="151"/>
      <c r="J500" s="152"/>
      <c r="K500" s="152"/>
      <c r="L500" s="152"/>
      <c r="M500" s="152"/>
      <c r="N500" s="150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</row>
    <row r="501" customFormat="false" ht="11.25" hidden="false" customHeight="true" outlineLevel="0" collapsed="false">
      <c r="A501" s="89"/>
      <c r="B501" s="89"/>
      <c r="C501" s="89"/>
      <c r="D501" s="183"/>
      <c r="E501" s="152"/>
      <c r="F501" s="151"/>
      <c r="G501" s="151"/>
      <c r="H501" s="151"/>
      <c r="I501" s="151"/>
      <c r="J501" s="152"/>
      <c r="K501" s="152"/>
      <c r="L501" s="152"/>
      <c r="M501" s="152"/>
      <c r="N501" s="150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</row>
    <row r="502" customFormat="false" ht="11.25" hidden="false" customHeight="true" outlineLevel="0" collapsed="false">
      <c r="A502" s="89"/>
      <c r="B502" s="89"/>
      <c r="C502" s="89"/>
      <c r="D502" s="183"/>
      <c r="E502" s="152"/>
      <c r="F502" s="151"/>
      <c r="G502" s="151"/>
      <c r="H502" s="151"/>
      <c r="I502" s="151"/>
      <c r="J502" s="152"/>
      <c r="K502" s="152"/>
      <c r="L502" s="152"/>
      <c r="M502" s="152"/>
      <c r="N502" s="150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</row>
    <row r="503" customFormat="false" ht="11.25" hidden="false" customHeight="true" outlineLevel="0" collapsed="false">
      <c r="A503" s="89"/>
      <c r="B503" s="89"/>
      <c r="C503" s="89"/>
      <c r="D503" s="183"/>
      <c r="E503" s="152"/>
      <c r="F503" s="151"/>
      <c r="G503" s="151"/>
      <c r="H503" s="151"/>
      <c r="I503" s="151"/>
      <c r="J503" s="152"/>
      <c r="K503" s="152"/>
      <c r="L503" s="152"/>
      <c r="M503" s="152"/>
      <c r="N503" s="150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</row>
    <row r="504" customFormat="false" ht="11.25" hidden="false" customHeight="true" outlineLevel="0" collapsed="false">
      <c r="A504" s="89"/>
      <c r="B504" s="89"/>
      <c r="C504" s="89"/>
      <c r="D504" s="183"/>
      <c r="E504" s="152"/>
      <c r="F504" s="151"/>
      <c r="G504" s="151"/>
      <c r="H504" s="151"/>
      <c r="I504" s="151"/>
      <c r="J504" s="152"/>
      <c r="K504" s="152"/>
      <c r="L504" s="152"/>
      <c r="M504" s="152"/>
      <c r="N504" s="150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</row>
    <row r="505" customFormat="false" ht="11.25" hidden="false" customHeight="true" outlineLevel="0" collapsed="false">
      <c r="A505" s="89"/>
      <c r="B505" s="89"/>
      <c r="C505" s="89"/>
      <c r="D505" s="183"/>
      <c r="E505" s="152"/>
      <c r="F505" s="151"/>
      <c r="G505" s="151"/>
      <c r="H505" s="151"/>
      <c r="I505" s="151"/>
      <c r="J505" s="152"/>
      <c r="K505" s="152"/>
      <c r="L505" s="152"/>
      <c r="M505" s="152"/>
      <c r="N505" s="150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</row>
    <row r="506" customFormat="false" ht="11.25" hidden="false" customHeight="true" outlineLevel="0" collapsed="false">
      <c r="A506" s="89"/>
      <c r="B506" s="89"/>
      <c r="C506" s="89"/>
      <c r="D506" s="183"/>
      <c r="E506" s="152"/>
      <c r="F506" s="151"/>
      <c r="G506" s="151"/>
      <c r="H506" s="151"/>
      <c r="I506" s="151"/>
      <c r="J506" s="152"/>
      <c r="K506" s="152"/>
      <c r="L506" s="152"/>
      <c r="M506" s="152"/>
      <c r="N506" s="150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</row>
    <row r="507" customFormat="false" ht="11.25" hidden="false" customHeight="true" outlineLevel="0" collapsed="false">
      <c r="A507" s="89"/>
      <c r="B507" s="89"/>
      <c r="C507" s="89"/>
      <c r="D507" s="183"/>
      <c r="E507" s="152"/>
      <c r="F507" s="151"/>
      <c r="G507" s="151"/>
      <c r="H507" s="151"/>
      <c r="I507" s="151"/>
      <c r="J507" s="152"/>
      <c r="K507" s="152"/>
      <c r="L507" s="152"/>
      <c r="M507" s="152"/>
      <c r="N507" s="150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</row>
    <row r="508" customFormat="false" ht="11.25" hidden="false" customHeight="true" outlineLevel="0" collapsed="false">
      <c r="A508" s="89"/>
      <c r="B508" s="89"/>
      <c r="C508" s="89"/>
      <c r="D508" s="183"/>
      <c r="E508" s="152"/>
      <c r="F508" s="151"/>
      <c r="G508" s="151"/>
      <c r="H508" s="151"/>
      <c r="I508" s="151"/>
      <c r="J508" s="152"/>
      <c r="K508" s="152"/>
      <c r="L508" s="152"/>
      <c r="M508" s="152"/>
      <c r="N508" s="150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</row>
    <row r="509" customFormat="false" ht="11.25" hidden="false" customHeight="true" outlineLevel="0" collapsed="false">
      <c r="A509" s="89"/>
      <c r="B509" s="89"/>
      <c r="C509" s="89"/>
      <c r="D509" s="183"/>
      <c r="E509" s="152"/>
      <c r="F509" s="151"/>
      <c r="G509" s="151"/>
      <c r="H509" s="151"/>
      <c r="I509" s="151"/>
      <c r="J509" s="152"/>
      <c r="K509" s="152"/>
      <c r="L509" s="152"/>
      <c r="M509" s="152"/>
      <c r="N509" s="150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</row>
    <row r="510" customFormat="false" ht="11.25" hidden="false" customHeight="true" outlineLevel="0" collapsed="false">
      <c r="A510" s="89"/>
      <c r="B510" s="89"/>
      <c r="C510" s="89"/>
      <c r="D510" s="183"/>
      <c r="E510" s="152"/>
      <c r="F510" s="151"/>
      <c r="G510" s="151"/>
      <c r="H510" s="151"/>
      <c r="I510" s="151"/>
      <c r="J510" s="152"/>
      <c r="K510" s="152"/>
      <c r="L510" s="152"/>
      <c r="M510" s="152"/>
      <c r="N510" s="150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</row>
    <row r="511" customFormat="false" ht="11.25" hidden="false" customHeight="true" outlineLevel="0" collapsed="false">
      <c r="A511" s="89"/>
      <c r="B511" s="89"/>
      <c r="C511" s="89"/>
      <c r="D511" s="183"/>
      <c r="E511" s="152"/>
      <c r="F511" s="151"/>
      <c r="G511" s="151"/>
      <c r="H511" s="151"/>
      <c r="I511" s="151"/>
      <c r="J511" s="152"/>
      <c r="K511" s="152"/>
      <c r="L511" s="152"/>
      <c r="M511" s="152"/>
      <c r="N511" s="150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</row>
    <row r="512" customFormat="false" ht="11.25" hidden="false" customHeight="true" outlineLevel="0" collapsed="false">
      <c r="A512" s="89"/>
      <c r="B512" s="89"/>
      <c r="C512" s="89"/>
      <c r="D512" s="183"/>
      <c r="E512" s="152"/>
      <c r="F512" s="151"/>
      <c r="G512" s="151"/>
      <c r="H512" s="151"/>
      <c r="I512" s="151"/>
      <c r="J512" s="152"/>
      <c r="K512" s="152"/>
      <c r="L512" s="152"/>
      <c r="M512" s="152"/>
      <c r="N512" s="150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</row>
    <row r="513" customFormat="false" ht="11.25" hidden="false" customHeight="true" outlineLevel="0" collapsed="false">
      <c r="A513" s="89"/>
      <c r="B513" s="89"/>
      <c r="C513" s="89"/>
      <c r="D513" s="183"/>
      <c r="E513" s="152"/>
      <c r="F513" s="151"/>
      <c r="G513" s="151"/>
      <c r="H513" s="151"/>
      <c r="I513" s="151"/>
      <c r="J513" s="152"/>
      <c r="K513" s="152"/>
      <c r="L513" s="152"/>
      <c r="M513" s="152"/>
      <c r="N513" s="150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</row>
    <row r="514" customFormat="false" ht="11.25" hidden="false" customHeight="true" outlineLevel="0" collapsed="false">
      <c r="A514" s="89"/>
      <c r="B514" s="89"/>
      <c r="C514" s="89"/>
      <c r="D514" s="183"/>
      <c r="E514" s="152"/>
      <c r="F514" s="151"/>
      <c r="G514" s="151"/>
      <c r="H514" s="151"/>
      <c r="I514" s="151"/>
      <c r="J514" s="152"/>
      <c r="K514" s="152"/>
      <c r="L514" s="152"/>
      <c r="M514" s="152"/>
      <c r="N514" s="150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</row>
    <row r="515" customFormat="false" ht="11.25" hidden="false" customHeight="true" outlineLevel="0" collapsed="false">
      <c r="A515" s="89"/>
      <c r="B515" s="89"/>
      <c r="C515" s="89"/>
      <c r="D515" s="183"/>
      <c r="E515" s="152"/>
      <c r="F515" s="151"/>
      <c r="G515" s="151"/>
      <c r="H515" s="151"/>
      <c r="I515" s="151"/>
      <c r="J515" s="152"/>
      <c r="K515" s="152"/>
      <c r="L515" s="152"/>
      <c r="M515" s="152"/>
      <c r="N515" s="150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</row>
    <row r="516" customFormat="false" ht="11.25" hidden="false" customHeight="true" outlineLevel="0" collapsed="false">
      <c r="A516" s="89"/>
      <c r="B516" s="89"/>
      <c r="C516" s="89"/>
      <c r="D516" s="183"/>
      <c r="E516" s="152"/>
      <c r="F516" s="151"/>
      <c r="G516" s="151"/>
      <c r="H516" s="151"/>
      <c r="I516" s="151"/>
      <c r="J516" s="152"/>
      <c r="K516" s="152"/>
      <c r="L516" s="152"/>
      <c r="M516" s="152"/>
      <c r="N516" s="150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</row>
    <row r="517" customFormat="false" ht="11.25" hidden="false" customHeight="true" outlineLevel="0" collapsed="false">
      <c r="A517" s="89"/>
      <c r="B517" s="89"/>
      <c r="C517" s="89"/>
      <c r="D517" s="183"/>
      <c r="E517" s="152"/>
      <c r="F517" s="151"/>
      <c r="G517" s="151"/>
      <c r="H517" s="151"/>
      <c r="I517" s="151"/>
      <c r="J517" s="152"/>
      <c r="K517" s="152"/>
      <c r="L517" s="152"/>
      <c r="M517" s="152"/>
      <c r="N517" s="150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</row>
    <row r="518" customFormat="false" ht="11.25" hidden="false" customHeight="true" outlineLevel="0" collapsed="false">
      <c r="A518" s="89"/>
      <c r="B518" s="89"/>
      <c r="C518" s="89"/>
      <c r="D518" s="183"/>
      <c r="E518" s="152"/>
      <c r="F518" s="151"/>
      <c r="G518" s="151"/>
      <c r="H518" s="151"/>
      <c r="I518" s="151"/>
      <c r="J518" s="152"/>
      <c r="K518" s="152"/>
      <c r="L518" s="152"/>
      <c r="M518" s="152"/>
      <c r="N518" s="150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</row>
    <row r="519" customFormat="false" ht="11.25" hidden="false" customHeight="true" outlineLevel="0" collapsed="false">
      <c r="A519" s="89"/>
      <c r="B519" s="89"/>
      <c r="C519" s="89"/>
      <c r="D519" s="183"/>
      <c r="E519" s="152"/>
      <c r="F519" s="151"/>
      <c r="G519" s="151"/>
      <c r="H519" s="151"/>
      <c r="I519" s="151"/>
      <c r="J519" s="152"/>
      <c r="K519" s="152"/>
      <c r="L519" s="152"/>
      <c r="M519" s="152"/>
      <c r="N519" s="150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</row>
    <row r="520" customFormat="false" ht="11.25" hidden="false" customHeight="true" outlineLevel="0" collapsed="false">
      <c r="A520" s="89"/>
      <c r="B520" s="89"/>
      <c r="C520" s="89"/>
      <c r="D520" s="183"/>
      <c r="E520" s="152"/>
      <c r="F520" s="151"/>
      <c r="G520" s="151"/>
      <c r="H520" s="151"/>
      <c r="I520" s="151"/>
      <c r="J520" s="152"/>
      <c r="K520" s="152"/>
      <c r="L520" s="152"/>
      <c r="M520" s="152"/>
      <c r="N520" s="150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</row>
    <row r="521" customFormat="false" ht="11.25" hidden="false" customHeight="true" outlineLevel="0" collapsed="false">
      <c r="A521" s="89"/>
      <c r="B521" s="89"/>
      <c r="C521" s="89"/>
      <c r="D521" s="183"/>
      <c r="E521" s="152"/>
      <c r="F521" s="151"/>
      <c r="G521" s="151"/>
      <c r="H521" s="151"/>
      <c r="I521" s="151"/>
      <c r="J521" s="152"/>
      <c r="K521" s="152"/>
      <c r="L521" s="152"/>
      <c r="M521" s="152"/>
      <c r="N521" s="150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</row>
    <row r="522" customFormat="false" ht="11.25" hidden="false" customHeight="true" outlineLevel="0" collapsed="false">
      <c r="A522" s="89"/>
      <c r="B522" s="89"/>
      <c r="C522" s="89"/>
      <c r="D522" s="183"/>
      <c r="E522" s="152"/>
      <c r="F522" s="151"/>
      <c r="G522" s="151"/>
      <c r="H522" s="151"/>
      <c r="I522" s="151"/>
      <c r="J522" s="152"/>
      <c r="K522" s="152"/>
      <c r="L522" s="152"/>
      <c r="M522" s="152"/>
      <c r="N522" s="150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</row>
    <row r="523" customFormat="false" ht="11.25" hidden="false" customHeight="true" outlineLevel="0" collapsed="false">
      <c r="A523" s="89"/>
      <c r="B523" s="89"/>
      <c r="C523" s="89"/>
      <c r="D523" s="183"/>
      <c r="E523" s="152"/>
      <c r="F523" s="151"/>
      <c r="G523" s="151"/>
      <c r="H523" s="151"/>
      <c r="I523" s="151"/>
      <c r="J523" s="152"/>
      <c r="K523" s="152"/>
      <c r="L523" s="152"/>
      <c r="M523" s="152"/>
      <c r="N523" s="150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</row>
    <row r="524" customFormat="false" ht="11.25" hidden="false" customHeight="true" outlineLevel="0" collapsed="false">
      <c r="A524" s="89"/>
      <c r="B524" s="89"/>
      <c r="C524" s="89"/>
      <c r="D524" s="183"/>
      <c r="E524" s="152"/>
      <c r="F524" s="151"/>
      <c r="G524" s="151"/>
      <c r="H524" s="151"/>
      <c r="I524" s="151"/>
      <c r="J524" s="152"/>
      <c r="K524" s="152"/>
      <c r="L524" s="152"/>
      <c r="M524" s="152"/>
      <c r="N524" s="150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</row>
    <row r="525" customFormat="false" ht="11.25" hidden="false" customHeight="true" outlineLevel="0" collapsed="false">
      <c r="A525" s="89"/>
      <c r="B525" s="89"/>
      <c r="C525" s="89"/>
      <c r="D525" s="183"/>
      <c r="E525" s="152"/>
      <c r="F525" s="151"/>
      <c r="G525" s="151"/>
      <c r="H525" s="151"/>
      <c r="I525" s="151"/>
      <c r="J525" s="152"/>
      <c r="K525" s="152"/>
      <c r="L525" s="152"/>
      <c r="M525" s="152"/>
      <c r="N525" s="150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</row>
    <row r="526" customFormat="false" ht="11.25" hidden="false" customHeight="true" outlineLevel="0" collapsed="false">
      <c r="A526" s="89"/>
      <c r="B526" s="89"/>
      <c r="C526" s="89"/>
      <c r="D526" s="183"/>
      <c r="E526" s="152"/>
      <c r="F526" s="151"/>
      <c r="G526" s="151"/>
      <c r="H526" s="151"/>
      <c r="I526" s="151"/>
      <c r="J526" s="152"/>
      <c r="K526" s="152"/>
      <c r="L526" s="152"/>
      <c r="M526" s="152"/>
      <c r="N526" s="150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</row>
    <row r="527" customFormat="false" ht="11.25" hidden="false" customHeight="true" outlineLevel="0" collapsed="false">
      <c r="A527" s="89"/>
      <c r="B527" s="89"/>
      <c r="C527" s="89"/>
      <c r="D527" s="183"/>
      <c r="E527" s="152"/>
      <c r="F527" s="151"/>
      <c r="G527" s="151"/>
      <c r="H527" s="151"/>
      <c r="I527" s="151"/>
      <c r="J527" s="152"/>
      <c r="K527" s="152"/>
      <c r="L527" s="152"/>
      <c r="M527" s="152"/>
      <c r="N527" s="150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</row>
    <row r="528" customFormat="false" ht="11.25" hidden="false" customHeight="true" outlineLevel="0" collapsed="false">
      <c r="A528" s="89"/>
      <c r="B528" s="89"/>
      <c r="C528" s="89"/>
      <c r="D528" s="183"/>
      <c r="E528" s="152"/>
      <c r="F528" s="151"/>
      <c r="G528" s="151"/>
      <c r="H528" s="151"/>
      <c r="I528" s="151"/>
      <c r="J528" s="152"/>
      <c r="K528" s="152"/>
      <c r="L528" s="152"/>
      <c r="M528" s="152"/>
      <c r="N528" s="150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</row>
    <row r="529" customFormat="false" ht="11.25" hidden="false" customHeight="true" outlineLevel="0" collapsed="false">
      <c r="A529" s="89"/>
      <c r="B529" s="89"/>
      <c r="C529" s="89"/>
      <c r="D529" s="183"/>
      <c r="E529" s="152"/>
      <c r="F529" s="151"/>
      <c r="G529" s="151"/>
      <c r="H529" s="151"/>
      <c r="I529" s="151"/>
      <c r="J529" s="152"/>
      <c r="K529" s="152"/>
      <c r="L529" s="152"/>
      <c r="M529" s="152"/>
      <c r="N529" s="150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</row>
    <row r="530" customFormat="false" ht="11.25" hidden="false" customHeight="true" outlineLevel="0" collapsed="false">
      <c r="A530" s="89"/>
      <c r="B530" s="89"/>
      <c r="C530" s="89"/>
      <c r="D530" s="183"/>
      <c r="E530" s="152"/>
      <c r="F530" s="151"/>
      <c r="G530" s="151"/>
      <c r="H530" s="151"/>
      <c r="I530" s="151"/>
      <c r="J530" s="152"/>
      <c r="K530" s="152"/>
      <c r="L530" s="152"/>
      <c r="M530" s="152"/>
      <c r="N530" s="150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</row>
    <row r="531" customFormat="false" ht="11.25" hidden="false" customHeight="true" outlineLevel="0" collapsed="false">
      <c r="A531" s="89"/>
      <c r="B531" s="89"/>
      <c r="C531" s="89"/>
      <c r="D531" s="183"/>
      <c r="E531" s="152"/>
      <c r="F531" s="151"/>
      <c r="G531" s="151"/>
      <c r="H531" s="151"/>
      <c r="I531" s="151"/>
      <c r="J531" s="152"/>
      <c r="K531" s="152"/>
      <c r="L531" s="152"/>
      <c r="M531" s="152"/>
      <c r="N531" s="150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</row>
    <row r="532" customFormat="false" ht="11.25" hidden="false" customHeight="true" outlineLevel="0" collapsed="false">
      <c r="A532" s="89"/>
      <c r="B532" s="89"/>
      <c r="C532" s="89"/>
      <c r="D532" s="183"/>
      <c r="E532" s="152"/>
      <c r="F532" s="151"/>
      <c r="G532" s="151"/>
      <c r="H532" s="151"/>
      <c r="I532" s="151"/>
      <c r="J532" s="152"/>
      <c r="K532" s="152"/>
      <c r="L532" s="152"/>
      <c r="M532" s="152"/>
      <c r="N532" s="150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</row>
    <row r="533" customFormat="false" ht="11.25" hidden="false" customHeight="true" outlineLevel="0" collapsed="false">
      <c r="A533" s="89"/>
      <c r="B533" s="89"/>
      <c r="C533" s="89"/>
      <c r="D533" s="183"/>
      <c r="E533" s="152"/>
      <c r="F533" s="151"/>
      <c r="G533" s="151"/>
      <c r="H533" s="151"/>
      <c r="I533" s="151"/>
      <c r="J533" s="152"/>
      <c r="K533" s="152"/>
      <c r="L533" s="152"/>
      <c r="M533" s="152"/>
      <c r="N533" s="150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</row>
    <row r="534" customFormat="false" ht="11.25" hidden="false" customHeight="true" outlineLevel="0" collapsed="false">
      <c r="A534" s="89"/>
      <c r="B534" s="89"/>
      <c r="C534" s="89"/>
      <c r="D534" s="183"/>
      <c r="E534" s="152"/>
      <c r="F534" s="151"/>
      <c r="G534" s="151"/>
      <c r="H534" s="151"/>
      <c r="I534" s="151"/>
      <c r="J534" s="152"/>
      <c r="K534" s="152"/>
      <c r="L534" s="152"/>
      <c r="M534" s="152"/>
      <c r="N534" s="150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</row>
    <row r="535" customFormat="false" ht="11.25" hidden="false" customHeight="true" outlineLevel="0" collapsed="false">
      <c r="A535" s="89"/>
      <c r="B535" s="89"/>
      <c r="C535" s="89"/>
      <c r="D535" s="183"/>
      <c r="E535" s="152"/>
      <c r="F535" s="151"/>
      <c r="G535" s="151"/>
      <c r="H535" s="151"/>
      <c r="I535" s="151"/>
      <c r="J535" s="152"/>
      <c r="K535" s="152"/>
      <c r="L535" s="152"/>
      <c r="M535" s="152"/>
      <c r="N535" s="150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</row>
    <row r="536" customFormat="false" ht="11.25" hidden="false" customHeight="true" outlineLevel="0" collapsed="false">
      <c r="A536" s="89"/>
      <c r="B536" s="89"/>
      <c r="C536" s="89"/>
      <c r="D536" s="183"/>
      <c r="E536" s="152"/>
      <c r="F536" s="151"/>
      <c r="G536" s="151"/>
      <c r="H536" s="151"/>
      <c r="I536" s="151"/>
      <c r="J536" s="152"/>
      <c r="K536" s="152"/>
      <c r="L536" s="152"/>
      <c r="M536" s="152"/>
      <c r="N536" s="150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</row>
    <row r="537" customFormat="false" ht="11.25" hidden="false" customHeight="true" outlineLevel="0" collapsed="false">
      <c r="A537" s="89"/>
      <c r="B537" s="89"/>
      <c r="C537" s="89"/>
      <c r="D537" s="183"/>
      <c r="E537" s="152"/>
      <c r="F537" s="151"/>
      <c r="G537" s="151"/>
      <c r="H537" s="151"/>
      <c r="I537" s="151"/>
      <c r="J537" s="152"/>
      <c r="K537" s="152"/>
      <c r="L537" s="152"/>
      <c r="M537" s="152"/>
      <c r="N537" s="150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</row>
    <row r="538" customFormat="false" ht="11.25" hidden="false" customHeight="true" outlineLevel="0" collapsed="false">
      <c r="A538" s="89"/>
      <c r="B538" s="89"/>
      <c r="C538" s="89"/>
      <c r="D538" s="183"/>
      <c r="E538" s="152"/>
      <c r="F538" s="151"/>
      <c r="G538" s="151"/>
      <c r="H538" s="151"/>
      <c r="I538" s="151"/>
      <c r="J538" s="152"/>
      <c r="K538" s="152"/>
      <c r="L538" s="152"/>
      <c r="M538" s="152"/>
      <c r="N538" s="150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</row>
    <row r="539" customFormat="false" ht="11.25" hidden="false" customHeight="true" outlineLevel="0" collapsed="false">
      <c r="A539" s="89"/>
      <c r="B539" s="89"/>
      <c r="C539" s="89"/>
      <c r="D539" s="183"/>
      <c r="E539" s="152"/>
      <c r="F539" s="151"/>
      <c r="G539" s="151"/>
      <c r="H539" s="151"/>
      <c r="I539" s="151"/>
      <c r="J539" s="152"/>
      <c r="K539" s="152"/>
      <c r="L539" s="152"/>
      <c r="M539" s="152"/>
      <c r="N539" s="150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</row>
    <row r="540" customFormat="false" ht="11.25" hidden="false" customHeight="true" outlineLevel="0" collapsed="false">
      <c r="A540" s="89"/>
      <c r="B540" s="89"/>
      <c r="C540" s="89"/>
      <c r="D540" s="183"/>
      <c r="E540" s="152"/>
      <c r="F540" s="151"/>
      <c r="G540" s="151"/>
      <c r="H540" s="151"/>
      <c r="I540" s="151"/>
      <c r="J540" s="152"/>
      <c r="K540" s="152"/>
      <c r="L540" s="152"/>
      <c r="M540" s="152"/>
      <c r="N540" s="150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</row>
    <row r="541" customFormat="false" ht="11.25" hidden="false" customHeight="true" outlineLevel="0" collapsed="false">
      <c r="A541" s="89"/>
      <c r="B541" s="89"/>
      <c r="C541" s="89"/>
      <c r="D541" s="183"/>
      <c r="E541" s="152"/>
      <c r="F541" s="151"/>
      <c r="G541" s="151"/>
      <c r="H541" s="151"/>
      <c r="I541" s="151"/>
      <c r="J541" s="152"/>
      <c r="K541" s="152"/>
      <c r="L541" s="152"/>
      <c r="M541" s="152"/>
      <c r="N541" s="150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</row>
    <row r="542" customFormat="false" ht="11.25" hidden="false" customHeight="true" outlineLevel="0" collapsed="false">
      <c r="A542" s="89"/>
      <c r="B542" s="89"/>
      <c r="C542" s="89"/>
      <c r="D542" s="183"/>
      <c r="E542" s="152"/>
      <c r="F542" s="151"/>
      <c r="G542" s="151"/>
      <c r="H542" s="151"/>
      <c r="I542" s="151"/>
      <c r="J542" s="152"/>
      <c r="K542" s="152"/>
      <c r="L542" s="152"/>
      <c r="M542" s="152"/>
      <c r="N542" s="150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</row>
    <row r="543" customFormat="false" ht="11.25" hidden="false" customHeight="true" outlineLevel="0" collapsed="false">
      <c r="A543" s="89"/>
      <c r="B543" s="89"/>
      <c r="C543" s="89"/>
      <c r="D543" s="183"/>
      <c r="E543" s="152"/>
      <c r="F543" s="151"/>
      <c r="G543" s="151"/>
      <c r="H543" s="151"/>
      <c r="I543" s="151"/>
      <c r="J543" s="152"/>
      <c r="K543" s="152"/>
      <c r="L543" s="152"/>
      <c r="M543" s="152"/>
      <c r="N543" s="150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</row>
    <row r="544" customFormat="false" ht="11.25" hidden="false" customHeight="true" outlineLevel="0" collapsed="false">
      <c r="A544" s="89"/>
      <c r="B544" s="89"/>
      <c r="C544" s="89"/>
      <c r="D544" s="183"/>
      <c r="E544" s="152"/>
      <c r="F544" s="151"/>
      <c r="G544" s="151"/>
      <c r="H544" s="151"/>
      <c r="I544" s="151"/>
      <c r="J544" s="152"/>
      <c r="K544" s="152"/>
      <c r="L544" s="152"/>
      <c r="M544" s="152"/>
      <c r="N544" s="150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</row>
    <row r="545" customFormat="false" ht="11.25" hidden="false" customHeight="true" outlineLevel="0" collapsed="false">
      <c r="A545" s="89"/>
      <c r="B545" s="89"/>
      <c r="C545" s="89"/>
      <c r="D545" s="183"/>
      <c r="E545" s="152"/>
      <c r="F545" s="151"/>
      <c r="G545" s="151"/>
      <c r="H545" s="151"/>
      <c r="I545" s="151"/>
      <c r="J545" s="152"/>
      <c r="K545" s="152"/>
      <c r="L545" s="152"/>
      <c r="M545" s="152"/>
      <c r="N545" s="150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</row>
    <row r="546" customFormat="false" ht="11.25" hidden="false" customHeight="true" outlineLevel="0" collapsed="false">
      <c r="A546" s="89"/>
      <c r="B546" s="89"/>
      <c r="C546" s="89"/>
      <c r="D546" s="183"/>
      <c r="E546" s="152"/>
      <c r="F546" s="151"/>
      <c r="G546" s="151"/>
      <c r="H546" s="151"/>
      <c r="I546" s="151"/>
      <c r="J546" s="152"/>
      <c r="K546" s="152"/>
      <c r="L546" s="152"/>
      <c r="M546" s="152"/>
      <c r="N546" s="150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</row>
    <row r="547" customFormat="false" ht="11.25" hidden="false" customHeight="true" outlineLevel="0" collapsed="false">
      <c r="A547" s="89"/>
      <c r="B547" s="89"/>
      <c r="C547" s="89"/>
      <c r="D547" s="183"/>
      <c r="E547" s="152"/>
      <c r="F547" s="151"/>
      <c r="G547" s="151"/>
      <c r="H547" s="151"/>
      <c r="I547" s="151"/>
      <c r="J547" s="152"/>
      <c r="K547" s="152"/>
      <c r="L547" s="152"/>
      <c r="M547" s="152"/>
      <c r="N547" s="150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</row>
    <row r="548" customFormat="false" ht="11.25" hidden="false" customHeight="true" outlineLevel="0" collapsed="false">
      <c r="A548" s="89"/>
      <c r="B548" s="89"/>
      <c r="C548" s="89"/>
      <c r="D548" s="183"/>
      <c r="E548" s="152"/>
      <c r="F548" s="151"/>
      <c r="G548" s="151"/>
      <c r="H548" s="151"/>
      <c r="I548" s="151"/>
      <c r="J548" s="152"/>
      <c r="K548" s="152"/>
      <c r="L548" s="152"/>
      <c r="M548" s="152"/>
      <c r="N548" s="150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</row>
    <row r="549" customFormat="false" ht="11.25" hidden="false" customHeight="true" outlineLevel="0" collapsed="false">
      <c r="A549" s="89"/>
      <c r="B549" s="89"/>
      <c r="C549" s="89"/>
      <c r="D549" s="183"/>
      <c r="E549" s="152"/>
      <c r="F549" s="151"/>
      <c r="G549" s="151"/>
      <c r="H549" s="151"/>
      <c r="I549" s="151"/>
      <c r="J549" s="152"/>
      <c r="K549" s="152"/>
      <c r="L549" s="152"/>
      <c r="M549" s="152"/>
      <c r="N549" s="150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</row>
    <row r="550" customFormat="false" ht="11.25" hidden="false" customHeight="true" outlineLevel="0" collapsed="false">
      <c r="A550" s="89"/>
      <c r="B550" s="89"/>
      <c r="C550" s="89"/>
      <c r="D550" s="183"/>
      <c r="E550" s="152"/>
      <c r="F550" s="151"/>
      <c r="G550" s="151"/>
      <c r="H550" s="151"/>
      <c r="I550" s="151"/>
      <c r="J550" s="152"/>
      <c r="K550" s="152"/>
      <c r="L550" s="152"/>
      <c r="M550" s="152"/>
      <c r="N550" s="150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</row>
    <row r="551" customFormat="false" ht="11.25" hidden="false" customHeight="true" outlineLevel="0" collapsed="false">
      <c r="A551" s="89"/>
      <c r="B551" s="89"/>
      <c r="C551" s="89"/>
      <c r="D551" s="183"/>
      <c r="E551" s="152"/>
      <c r="F551" s="151"/>
      <c r="G551" s="151"/>
      <c r="H551" s="151"/>
      <c r="I551" s="151"/>
      <c r="J551" s="152"/>
      <c r="K551" s="152"/>
      <c r="L551" s="152"/>
      <c r="M551" s="152"/>
      <c r="N551" s="150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</row>
    <row r="552" customFormat="false" ht="11.25" hidden="false" customHeight="true" outlineLevel="0" collapsed="false">
      <c r="A552" s="89"/>
      <c r="B552" s="89"/>
      <c r="C552" s="89"/>
      <c r="D552" s="183"/>
      <c r="E552" s="152"/>
      <c r="F552" s="151"/>
      <c r="G552" s="151"/>
      <c r="H552" s="151"/>
      <c r="I552" s="151"/>
      <c r="J552" s="152"/>
      <c r="K552" s="152"/>
      <c r="L552" s="152"/>
      <c r="M552" s="152"/>
      <c r="N552" s="150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</row>
    <row r="553" customFormat="false" ht="11.25" hidden="false" customHeight="true" outlineLevel="0" collapsed="false">
      <c r="A553" s="89"/>
      <c r="B553" s="89"/>
      <c r="C553" s="89"/>
      <c r="D553" s="183"/>
      <c r="E553" s="152"/>
      <c r="F553" s="151"/>
      <c r="G553" s="151"/>
      <c r="H553" s="151"/>
      <c r="I553" s="151"/>
      <c r="J553" s="152"/>
      <c r="K553" s="152"/>
      <c r="L553" s="152"/>
      <c r="M553" s="152"/>
      <c r="N553" s="150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</row>
    <row r="554" customFormat="false" ht="11.25" hidden="false" customHeight="true" outlineLevel="0" collapsed="false">
      <c r="A554" s="89"/>
      <c r="B554" s="89"/>
      <c r="C554" s="89"/>
      <c r="D554" s="183"/>
      <c r="E554" s="152"/>
      <c r="F554" s="151"/>
      <c r="G554" s="151"/>
      <c r="H554" s="151"/>
      <c r="I554" s="151"/>
      <c r="J554" s="152"/>
      <c r="K554" s="152"/>
      <c r="L554" s="152"/>
      <c r="M554" s="152"/>
      <c r="N554" s="150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</row>
    <row r="555" customFormat="false" ht="11.25" hidden="false" customHeight="true" outlineLevel="0" collapsed="false">
      <c r="A555" s="89"/>
      <c r="B555" s="89"/>
      <c r="C555" s="89"/>
      <c r="D555" s="183"/>
      <c r="E555" s="152"/>
      <c r="F555" s="151"/>
      <c r="G555" s="151"/>
      <c r="H555" s="151"/>
      <c r="I555" s="151"/>
      <c r="J555" s="152"/>
      <c r="K555" s="152"/>
      <c r="L555" s="152"/>
      <c r="M555" s="152"/>
      <c r="N555" s="150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</row>
    <row r="556" customFormat="false" ht="11.25" hidden="false" customHeight="true" outlineLevel="0" collapsed="false">
      <c r="A556" s="89"/>
      <c r="B556" s="89"/>
      <c r="C556" s="89"/>
      <c r="D556" s="183"/>
      <c r="E556" s="152"/>
      <c r="F556" s="151"/>
      <c r="G556" s="151"/>
      <c r="H556" s="151"/>
      <c r="I556" s="151"/>
      <c r="J556" s="152"/>
      <c r="K556" s="152"/>
      <c r="L556" s="152"/>
      <c r="M556" s="152"/>
      <c r="N556" s="150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</row>
    <row r="557" customFormat="false" ht="11.25" hidden="false" customHeight="true" outlineLevel="0" collapsed="false">
      <c r="A557" s="89"/>
      <c r="B557" s="89"/>
      <c r="C557" s="89"/>
      <c r="D557" s="183"/>
      <c r="E557" s="152"/>
      <c r="F557" s="151"/>
      <c r="G557" s="151"/>
      <c r="H557" s="151"/>
      <c r="I557" s="151"/>
      <c r="J557" s="152"/>
      <c r="K557" s="152"/>
      <c r="L557" s="152"/>
      <c r="M557" s="152"/>
      <c r="N557" s="150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</row>
    <row r="558" customFormat="false" ht="11.25" hidden="false" customHeight="true" outlineLevel="0" collapsed="false">
      <c r="A558" s="89"/>
      <c r="B558" s="89"/>
      <c r="C558" s="89"/>
      <c r="D558" s="183"/>
      <c r="E558" s="152"/>
      <c r="F558" s="151"/>
      <c r="G558" s="151"/>
      <c r="H558" s="151"/>
      <c r="I558" s="151"/>
      <c r="J558" s="152"/>
      <c r="K558" s="152"/>
      <c r="L558" s="152"/>
      <c r="M558" s="152"/>
      <c r="N558" s="150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</row>
    <row r="559" customFormat="false" ht="11.25" hidden="false" customHeight="true" outlineLevel="0" collapsed="false">
      <c r="A559" s="89"/>
      <c r="B559" s="89"/>
      <c r="C559" s="89"/>
      <c r="D559" s="183"/>
      <c r="E559" s="152"/>
      <c r="F559" s="151"/>
      <c r="G559" s="151"/>
      <c r="H559" s="151"/>
      <c r="I559" s="151"/>
      <c r="J559" s="152"/>
      <c r="K559" s="152"/>
      <c r="L559" s="152"/>
      <c r="M559" s="152"/>
      <c r="N559" s="150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</row>
    <row r="560" customFormat="false" ht="11.25" hidden="false" customHeight="true" outlineLevel="0" collapsed="false">
      <c r="A560" s="89"/>
      <c r="B560" s="89"/>
      <c r="C560" s="89"/>
      <c r="D560" s="183"/>
      <c r="E560" s="152"/>
      <c r="F560" s="151"/>
      <c r="G560" s="151"/>
      <c r="H560" s="151"/>
      <c r="I560" s="151"/>
      <c r="J560" s="152"/>
      <c r="K560" s="152"/>
      <c r="L560" s="152"/>
      <c r="M560" s="152"/>
      <c r="N560" s="150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</row>
    <row r="561" customFormat="false" ht="11.25" hidden="false" customHeight="true" outlineLevel="0" collapsed="false">
      <c r="A561" s="89"/>
      <c r="B561" s="89"/>
      <c r="C561" s="89"/>
      <c r="D561" s="183"/>
      <c r="E561" s="152"/>
      <c r="F561" s="151"/>
      <c r="G561" s="151"/>
      <c r="H561" s="151"/>
      <c r="I561" s="151"/>
      <c r="J561" s="152"/>
      <c r="K561" s="152"/>
      <c r="L561" s="152"/>
      <c r="M561" s="152"/>
      <c r="N561" s="150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</row>
    <row r="562" customFormat="false" ht="11.25" hidden="false" customHeight="true" outlineLevel="0" collapsed="false">
      <c r="A562" s="89"/>
      <c r="B562" s="89"/>
      <c r="C562" s="89"/>
      <c r="D562" s="183"/>
      <c r="E562" s="152"/>
      <c r="F562" s="151"/>
      <c r="G562" s="151"/>
      <c r="H562" s="151"/>
      <c r="I562" s="151"/>
      <c r="J562" s="152"/>
      <c r="K562" s="152"/>
      <c r="L562" s="152"/>
      <c r="M562" s="152"/>
      <c r="N562" s="150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</row>
    <row r="563" customFormat="false" ht="11.25" hidden="false" customHeight="true" outlineLevel="0" collapsed="false">
      <c r="A563" s="89"/>
      <c r="B563" s="89"/>
      <c r="C563" s="89"/>
      <c r="D563" s="183"/>
      <c r="E563" s="152"/>
      <c r="F563" s="151"/>
      <c r="G563" s="151"/>
      <c r="H563" s="151"/>
      <c r="I563" s="151"/>
      <c r="J563" s="152"/>
      <c r="K563" s="152"/>
      <c r="L563" s="152"/>
      <c r="M563" s="152"/>
      <c r="N563" s="150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</row>
    <row r="564" customFormat="false" ht="11.25" hidden="false" customHeight="true" outlineLevel="0" collapsed="false">
      <c r="A564" s="89"/>
      <c r="B564" s="89"/>
      <c r="C564" s="89"/>
      <c r="D564" s="183"/>
      <c r="E564" s="152"/>
      <c r="F564" s="151"/>
      <c r="G564" s="151"/>
      <c r="H564" s="151"/>
      <c r="I564" s="151"/>
      <c r="J564" s="152"/>
      <c r="K564" s="152"/>
      <c r="L564" s="152"/>
      <c r="M564" s="152"/>
      <c r="N564" s="150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</row>
    <row r="565" customFormat="false" ht="11.25" hidden="false" customHeight="true" outlineLevel="0" collapsed="false">
      <c r="A565" s="89"/>
      <c r="B565" s="89"/>
      <c r="C565" s="89"/>
      <c r="D565" s="183"/>
      <c r="E565" s="152"/>
      <c r="F565" s="151"/>
      <c r="G565" s="151"/>
      <c r="H565" s="151"/>
      <c r="I565" s="151"/>
      <c r="J565" s="152"/>
      <c r="K565" s="152"/>
      <c r="L565" s="152"/>
      <c r="M565" s="152"/>
      <c r="N565" s="150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</row>
    <row r="566" customFormat="false" ht="11.25" hidden="false" customHeight="true" outlineLevel="0" collapsed="false">
      <c r="A566" s="89"/>
      <c r="B566" s="89"/>
      <c r="C566" s="89"/>
      <c r="D566" s="183"/>
      <c r="E566" s="152"/>
      <c r="F566" s="151"/>
      <c r="G566" s="151"/>
      <c r="H566" s="151"/>
      <c r="I566" s="151"/>
      <c r="J566" s="152"/>
      <c r="K566" s="152"/>
      <c r="L566" s="152"/>
      <c r="M566" s="152"/>
      <c r="N566" s="150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</row>
    <row r="567" customFormat="false" ht="11.25" hidden="false" customHeight="true" outlineLevel="0" collapsed="false">
      <c r="A567" s="89"/>
      <c r="B567" s="89"/>
      <c r="C567" s="89"/>
      <c r="D567" s="183"/>
      <c r="E567" s="152"/>
      <c r="F567" s="151"/>
      <c r="G567" s="151"/>
      <c r="H567" s="151"/>
      <c r="I567" s="151"/>
      <c r="J567" s="152"/>
      <c r="K567" s="152"/>
      <c r="L567" s="152"/>
      <c r="M567" s="152"/>
      <c r="N567" s="150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</row>
    <row r="568" customFormat="false" ht="11.25" hidden="false" customHeight="true" outlineLevel="0" collapsed="false">
      <c r="A568" s="89"/>
      <c r="B568" s="89"/>
      <c r="C568" s="89"/>
      <c r="D568" s="183"/>
      <c r="E568" s="152"/>
      <c r="F568" s="151"/>
      <c r="G568" s="151"/>
      <c r="H568" s="151"/>
      <c r="I568" s="151"/>
      <c r="J568" s="152"/>
      <c r="K568" s="152"/>
      <c r="L568" s="152"/>
      <c r="M568" s="152"/>
      <c r="N568" s="150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</row>
    <row r="569" customFormat="false" ht="11.25" hidden="false" customHeight="true" outlineLevel="0" collapsed="false">
      <c r="A569" s="89"/>
      <c r="B569" s="89"/>
      <c r="C569" s="89"/>
      <c r="D569" s="183"/>
      <c r="E569" s="152"/>
      <c r="F569" s="151"/>
      <c r="G569" s="151"/>
      <c r="H569" s="151"/>
      <c r="I569" s="151"/>
      <c r="J569" s="152"/>
      <c r="K569" s="152"/>
      <c r="L569" s="152"/>
      <c r="M569" s="152"/>
      <c r="N569" s="150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</row>
    <row r="570" customFormat="false" ht="11.25" hidden="false" customHeight="true" outlineLevel="0" collapsed="false">
      <c r="A570" s="89"/>
      <c r="B570" s="89"/>
      <c r="C570" s="89"/>
      <c r="D570" s="183"/>
      <c r="E570" s="152"/>
      <c r="F570" s="151"/>
      <c r="G570" s="151"/>
      <c r="H570" s="151"/>
      <c r="I570" s="151"/>
      <c r="J570" s="152"/>
      <c r="K570" s="152"/>
      <c r="L570" s="152"/>
      <c r="M570" s="152"/>
      <c r="N570" s="150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</row>
    <row r="571" customFormat="false" ht="11.25" hidden="false" customHeight="true" outlineLevel="0" collapsed="false">
      <c r="A571" s="89"/>
      <c r="B571" s="89"/>
      <c r="C571" s="89"/>
      <c r="D571" s="183"/>
      <c r="E571" s="152"/>
      <c r="F571" s="151"/>
      <c r="G571" s="151"/>
      <c r="H571" s="151"/>
      <c r="I571" s="151"/>
      <c r="J571" s="152"/>
      <c r="K571" s="152"/>
      <c r="L571" s="152"/>
      <c r="M571" s="152"/>
      <c r="N571" s="150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</row>
    <row r="572" customFormat="false" ht="11.25" hidden="false" customHeight="true" outlineLevel="0" collapsed="false">
      <c r="A572" s="89"/>
      <c r="B572" s="89"/>
      <c r="C572" s="89"/>
      <c r="D572" s="183"/>
      <c r="E572" s="152"/>
      <c r="F572" s="151"/>
      <c r="G572" s="151"/>
      <c r="H572" s="151"/>
      <c r="I572" s="151"/>
      <c r="J572" s="152"/>
      <c r="K572" s="152"/>
      <c r="L572" s="152"/>
      <c r="M572" s="152"/>
      <c r="N572" s="150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</row>
    <row r="573" customFormat="false" ht="11.25" hidden="false" customHeight="true" outlineLevel="0" collapsed="false">
      <c r="A573" s="89"/>
      <c r="B573" s="89"/>
      <c r="C573" s="89"/>
      <c r="D573" s="183"/>
      <c r="E573" s="152"/>
      <c r="F573" s="151"/>
      <c r="G573" s="151"/>
      <c r="H573" s="151"/>
      <c r="I573" s="151"/>
      <c r="J573" s="152"/>
      <c r="K573" s="152"/>
      <c r="L573" s="152"/>
      <c r="M573" s="152"/>
      <c r="N573" s="150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</row>
    <row r="574" customFormat="false" ht="11.25" hidden="false" customHeight="true" outlineLevel="0" collapsed="false">
      <c r="A574" s="89"/>
      <c r="B574" s="89"/>
      <c r="C574" s="89"/>
      <c r="D574" s="183"/>
      <c r="E574" s="152"/>
      <c r="F574" s="151"/>
      <c r="G574" s="151"/>
      <c r="H574" s="151"/>
      <c r="I574" s="151"/>
      <c r="J574" s="152"/>
      <c r="K574" s="152"/>
      <c r="L574" s="152"/>
      <c r="M574" s="152"/>
      <c r="N574" s="150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</row>
    <row r="575" customFormat="false" ht="11.25" hidden="false" customHeight="true" outlineLevel="0" collapsed="false">
      <c r="A575" s="89"/>
      <c r="B575" s="89"/>
      <c r="C575" s="89"/>
      <c r="D575" s="183"/>
      <c r="E575" s="152"/>
      <c r="F575" s="151"/>
      <c r="G575" s="151"/>
      <c r="H575" s="151"/>
      <c r="I575" s="151"/>
      <c r="J575" s="152"/>
      <c r="K575" s="152"/>
      <c r="L575" s="152"/>
      <c r="M575" s="152"/>
      <c r="N575" s="150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</row>
    <row r="576" customFormat="false" ht="11.25" hidden="false" customHeight="true" outlineLevel="0" collapsed="false">
      <c r="A576" s="89"/>
      <c r="B576" s="89"/>
      <c r="C576" s="89"/>
      <c r="D576" s="183"/>
      <c r="E576" s="152"/>
      <c r="F576" s="151"/>
      <c r="G576" s="151"/>
      <c r="H576" s="151"/>
      <c r="I576" s="151"/>
      <c r="J576" s="152"/>
      <c r="K576" s="152"/>
      <c r="L576" s="152"/>
      <c r="M576" s="152"/>
      <c r="N576" s="150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</row>
    <row r="577" customFormat="false" ht="11.25" hidden="false" customHeight="true" outlineLevel="0" collapsed="false">
      <c r="A577" s="89"/>
      <c r="B577" s="89"/>
      <c r="C577" s="89"/>
      <c r="D577" s="183"/>
      <c r="E577" s="152"/>
      <c r="F577" s="151"/>
      <c r="G577" s="151"/>
      <c r="H577" s="151"/>
      <c r="I577" s="151"/>
      <c r="J577" s="152"/>
      <c r="K577" s="152"/>
      <c r="L577" s="152"/>
      <c r="M577" s="152"/>
      <c r="N577" s="150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</row>
    <row r="578" customFormat="false" ht="11.25" hidden="false" customHeight="true" outlineLevel="0" collapsed="false">
      <c r="A578" s="89"/>
      <c r="B578" s="89"/>
      <c r="C578" s="89"/>
      <c r="D578" s="183"/>
      <c r="E578" s="152"/>
      <c r="F578" s="151"/>
      <c r="G578" s="151"/>
      <c r="H578" s="151"/>
      <c r="I578" s="151"/>
      <c r="J578" s="152"/>
      <c r="K578" s="152"/>
      <c r="L578" s="152"/>
      <c r="M578" s="152"/>
      <c r="N578" s="150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</row>
    <row r="579" customFormat="false" ht="11.25" hidden="false" customHeight="true" outlineLevel="0" collapsed="false">
      <c r="A579" s="89"/>
      <c r="B579" s="89"/>
      <c r="C579" s="89"/>
      <c r="D579" s="183"/>
      <c r="E579" s="152"/>
      <c r="F579" s="151"/>
      <c r="G579" s="151"/>
      <c r="H579" s="151"/>
      <c r="I579" s="151"/>
      <c r="J579" s="152"/>
      <c r="K579" s="152"/>
      <c r="L579" s="152"/>
      <c r="M579" s="152"/>
      <c r="N579" s="150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</row>
    <row r="580" customFormat="false" ht="11.25" hidden="false" customHeight="true" outlineLevel="0" collapsed="false">
      <c r="A580" s="89"/>
      <c r="B580" s="89"/>
      <c r="C580" s="89"/>
      <c r="D580" s="183"/>
      <c r="E580" s="152"/>
      <c r="F580" s="151"/>
      <c r="G580" s="151"/>
      <c r="H580" s="151"/>
      <c r="I580" s="151"/>
      <c r="J580" s="152"/>
      <c r="K580" s="152"/>
      <c r="L580" s="152"/>
      <c r="M580" s="152"/>
      <c r="N580" s="150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</row>
    <row r="581" customFormat="false" ht="11.25" hidden="false" customHeight="true" outlineLevel="0" collapsed="false">
      <c r="A581" s="89"/>
      <c r="B581" s="89"/>
      <c r="C581" s="89"/>
      <c r="D581" s="183"/>
      <c r="E581" s="152"/>
      <c r="F581" s="151"/>
      <c r="G581" s="151"/>
      <c r="H581" s="151"/>
      <c r="I581" s="151"/>
      <c r="J581" s="152"/>
      <c r="K581" s="152"/>
      <c r="L581" s="152"/>
      <c r="M581" s="152"/>
      <c r="N581" s="150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</row>
    <row r="582" customFormat="false" ht="11.25" hidden="false" customHeight="true" outlineLevel="0" collapsed="false">
      <c r="A582" s="89"/>
      <c r="B582" s="89"/>
      <c r="C582" s="89"/>
      <c r="D582" s="183"/>
      <c r="E582" s="152"/>
      <c r="F582" s="151"/>
      <c r="G582" s="151"/>
      <c r="H582" s="151"/>
      <c r="I582" s="151"/>
      <c r="J582" s="152"/>
      <c r="K582" s="152"/>
      <c r="L582" s="152"/>
      <c r="M582" s="152"/>
      <c r="N582" s="150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</row>
    <row r="583" customFormat="false" ht="11.25" hidden="false" customHeight="true" outlineLevel="0" collapsed="false">
      <c r="A583" s="89"/>
      <c r="B583" s="89"/>
      <c r="C583" s="89"/>
      <c r="D583" s="183"/>
      <c r="E583" s="152"/>
      <c r="F583" s="151"/>
      <c r="G583" s="151"/>
      <c r="H583" s="151"/>
      <c r="I583" s="151"/>
      <c r="J583" s="152"/>
      <c r="K583" s="152"/>
      <c r="L583" s="152"/>
      <c r="M583" s="152"/>
      <c r="N583" s="150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</row>
    <row r="584" customFormat="false" ht="11.25" hidden="false" customHeight="true" outlineLevel="0" collapsed="false">
      <c r="A584" s="89"/>
      <c r="B584" s="89"/>
      <c r="C584" s="89"/>
      <c r="D584" s="183"/>
      <c r="E584" s="152"/>
      <c r="F584" s="151"/>
      <c r="G584" s="151"/>
      <c r="H584" s="151"/>
      <c r="I584" s="151"/>
      <c r="J584" s="152"/>
      <c r="K584" s="152"/>
      <c r="L584" s="152"/>
      <c r="M584" s="152"/>
      <c r="N584" s="150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</row>
    <row r="585" customFormat="false" ht="11.25" hidden="false" customHeight="true" outlineLevel="0" collapsed="false">
      <c r="A585" s="89"/>
      <c r="B585" s="89"/>
      <c r="C585" s="89"/>
      <c r="D585" s="183"/>
      <c r="E585" s="152"/>
      <c r="F585" s="151"/>
      <c r="G585" s="151"/>
      <c r="H585" s="151"/>
      <c r="I585" s="151"/>
      <c r="J585" s="152"/>
      <c r="K585" s="152"/>
      <c r="L585" s="152"/>
      <c r="M585" s="152"/>
      <c r="N585" s="150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</row>
    <row r="586" customFormat="false" ht="11.25" hidden="false" customHeight="true" outlineLevel="0" collapsed="false">
      <c r="A586" s="89"/>
      <c r="B586" s="89"/>
      <c r="C586" s="89"/>
      <c r="D586" s="183"/>
      <c r="E586" s="152"/>
      <c r="F586" s="151"/>
      <c r="G586" s="151"/>
      <c r="H586" s="151"/>
      <c r="I586" s="151"/>
      <c r="J586" s="152"/>
      <c r="K586" s="152"/>
      <c r="L586" s="152"/>
      <c r="M586" s="152"/>
      <c r="N586" s="150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</row>
    <row r="587" customFormat="false" ht="11.25" hidden="false" customHeight="true" outlineLevel="0" collapsed="false">
      <c r="A587" s="89"/>
      <c r="B587" s="89"/>
      <c r="C587" s="89"/>
      <c r="D587" s="183"/>
      <c r="E587" s="152"/>
      <c r="F587" s="151"/>
      <c r="G587" s="151"/>
      <c r="H587" s="151"/>
      <c r="I587" s="151"/>
      <c r="J587" s="152"/>
      <c r="K587" s="152"/>
      <c r="L587" s="152"/>
      <c r="M587" s="152"/>
      <c r="N587" s="150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</row>
    <row r="588" customFormat="false" ht="11.25" hidden="false" customHeight="true" outlineLevel="0" collapsed="false">
      <c r="A588" s="89"/>
      <c r="B588" s="89"/>
      <c r="C588" s="89"/>
      <c r="D588" s="183"/>
      <c r="E588" s="152"/>
      <c r="F588" s="151"/>
      <c r="G588" s="151"/>
      <c r="H588" s="151"/>
      <c r="I588" s="151"/>
      <c r="J588" s="152"/>
      <c r="K588" s="152"/>
      <c r="L588" s="152"/>
      <c r="M588" s="152"/>
      <c r="N588" s="150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</row>
    <row r="589" customFormat="false" ht="11.25" hidden="false" customHeight="true" outlineLevel="0" collapsed="false">
      <c r="A589" s="89"/>
      <c r="B589" s="89"/>
      <c r="C589" s="89"/>
      <c r="D589" s="183"/>
      <c r="E589" s="152"/>
      <c r="F589" s="151"/>
      <c r="G589" s="151"/>
      <c r="H589" s="151"/>
      <c r="I589" s="151"/>
      <c r="J589" s="152"/>
      <c r="K589" s="152"/>
      <c r="L589" s="152"/>
      <c r="M589" s="152"/>
      <c r="N589" s="150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</row>
    <row r="590" customFormat="false" ht="11.25" hidden="false" customHeight="true" outlineLevel="0" collapsed="false">
      <c r="A590" s="89"/>
      <c r="B590" s="89"/>
      <c r="C590" s="89"/>
      <c r="D590" s="183"/>
      <c r="E590" s="152"/>
      <c r="F590" s="151"/>
      <c r="G590" s="151"/>
      <c r="H590" s="151"/>
      <c r="I590" s="151"/>
      <c r="J590" s="152"/>
      <c r="K590" s="152"/>
      <c r="L590" s="152"/>
      <c r="M590" s="152"/>
      <c r="N590" s="150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</row>
    <row r="591" customFormat="false" ht="11.25" hidden="false" customHeight="true" outlineLevel="0" collapsed="false">
      <c r="A591" s="89"/>
      <c r="B591" s="89"/>
      <c r="C591" s="89"/>
      <c r="D591" s="183"/>
      <c r="E591" s="152"/>
      <c r="F591" s="151"/>
      <c r="G591" s="151"/>
      <c r="H591" s="151"/>
      <c r="I591" s="151"/>
      <c r="J591" s="152"/>
      <c r="K591" s="152"/>
      <c r="L591" s="152"/>
      <c r="M591" s="152"/>
      <c r="N591" s="150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</row>
    <row r="592" customFormat="false" ht="11.25" hidden="false" customHeight="true" outlineLevel="0" collapsed="false">
      <c r="A592" s="89"/>
      <c r="B592" s="89"/>
      <c r="C592" s="89"/>
      <c r="D592" s="183"/>
      <c r="E592" s="152"/>
      <c r="F592" s="151"/>
      <c r="G592" s="151"/>
      <c r="H592" s="151"/>
      <c r="I592" s="151"/>
      <c r="J592" s="152"/>
      <c r="K592" s="152"/>
      <c r="L592" s="152"/>
      <c r="M592" s="152"/>
      <c r="N592" s="150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</row>
    <row r="593" customFormat="false" ht="11.25" hidden="false" customHeight="true" outlineLevel="0" collapsed="false">
      <c r="A593" s="89"/>
      <c r="B593" s="89"/>
      <c r="C593" s="89"/>
      <c r="D593" s="183"/>
      <c r="E593" s="152"/>
      <c r="F593" s="151"/>
      <c r="G593" s="151"/>
      <c r="H593" s="151"/>
      <c r="I593" s="151"/>
      <c r="J593" s="152"/>
      <c r="K593" s="152"/>
      <c r="L593" s="152"/>
      <c r="M593" s="152"/>
      <c r="N593" s="150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</row>
    <row r="594" customFormat="false" ht="11.25" hidden="false" customHeight="true" outlineLevel="0" collapsed="false">
      <c r="A594" s="89"/>
      <c r="B594" s="89"/>
      <c r="C594" s="89"/>
      <c r="D594" s="183"/>
      <c r="E594" s="152"/>
      <c r="F594" s="151"/>
      <c r="G594" s="151"/>
      <c r="H594" s="151"/>
      <c r="I594" s="151"/>
      <c r="J594" s="152"/>
      <c r="K594" s="152"/>
      <c r="L594" s="152"/>
      <c r="M594" s="152"/>
      <c r="N594" s="150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</row>
    <row r="595" customFormat="false" ht="11.25" hidden="false" customHeight="true" outlineLevel="0" collapsed="false">
      <c r="A595" s="89"/>
      <c r="B595" s="89"/>
      <c r="C595" s="89"/>
      <c r="D595" s="183"/>
      <c r="E595" s="152"/>
      <c r="F595" s="151"/>
      <c r="G595" s="151"/>
      <c r="H595" s="151"/>
      <c r="I595" s="151"/>
      <c r="J595" s="152"/>
      <c r="K595" s="152"/>
      <c r="L595" s="152"/>
      <c r="M595" s="152"/>
      <c r="N595" s="150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</row>
    <row r="596" customFormat="false" ht="11.25" hidden="false" customHeight="true" outlineLevel="0" collapsed="false">
      <c r="A596" s="89"/>
      <c r="B596" s="89"/>
      <c r="C596" s="89"/>
      <c r="D596" s="183"/>
      <c r="E596" s="152"/>
      <c r="F596" s="151"/>
      <c r="G596" s="151"/>
      <c r="H596" s="151"/>
      <c r="I596" s="151"/>
      <c r="J596" s="152"/>
      <c r="K596" s="152"/>
      <c r="L596" s="152"/>
      <c r="M596" s="152"/>
      <c r="N596" s="150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</row>
    <row r="597" customFormat="false" ht="11.25" hidden="false" customHeight="true" outlineLevel="0" collapsed="false">
      <c r="A597" s="89"/>
      <c r="B597" s="89"/>
      <c r="C597" s="89"/>
      <c r="D597" s="183"/>
      <c r="E597" s="152"/>
      <c r="F597" s="151"/>
      <c r="G597" s="151"/>
      <c r="H597" s="151"/>
      <c r="I597" s="151"/>
      <c r="J597" s="152"/>
      <c r="K597" s="152"/>
      <c r="L597" s="152"/>
      <c r="M597" s="152"/>
      <c r="N597" s="150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</row>
    <row r="598" customFormat="false" ht="11.25" hidden="false" customHeight="true" outlineLevel="0" collapsed="false">
      <c r="A598" s="89"/>
      <c r="B598" s="89"/>
      <c r="C598" s="89"/>
      <c r="D598" s="183"/>
      <c r="E598" s="152"/>
      <c r="F598" s="151"/>
      <c r="G598" s="151"/>
      <c r="H598" s="151"/>
      <c r="I598" s="151"/>
      <c r="J598" s="152"/>
      <c r="K598" s="152"/>
      <c r="L598" s="152"/>
      <c r="M598" s="152"/>
      <c r="N598" s="150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</row>
    <row r="599" customFormat="false" ht="11.25" hidden="false" customHeight="true" outlineLevel="0" collapsed="false">
      <c r="A599" s="89"/>
      <c r="B599" s="89"/>
      <c r="C599" s="89"/>
      <c r="D599" s="183"/>
      <c r="E599" s="152"/>
      <c r="F599" s="151"/>
      <c r="G599" s="151"/>
      <c r="H599" s="151"/>
      <c r="I599" s="151"/>
      <c r="J599" s="152"/>
      <c r="K599" s="152"/>
      <c r="L599" s="152"/>
      <c r="M599" s="152"/>
      <c r="N599" s="150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</row>
    <row r="600" customFormat="false" ht="11.25" hidden="false" customHeight="true" outlineLevel="0" collapsed="false">
      <c r="A600" s="89"/>
      <c r="B600" s="89"/>
      <c r="C600" s="89"/>
      <c r="D600" s="183"/>
      <c r="E600" s="152"/>
      <c r="F600" s="151"/>
      <c r="G600" s="151"/>
      <c r="H600" s="151"/>
      <c r="I600" s="151"/>
      <c r="J600" s="152"/>
      <c r="K600" s="152"/>
      <c r="L600" s="152"/>
      <c r="M600" s="152"/>
      <c r="N600" s="150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</row>
    <row r="601" customFormat="false" ht="11.25" hidden="false" customHeight="true" outlineLevel="0" collapsed="false">
      <c r="A601" s="89"/>
      <c r="B601" s="89"/>
      <c r="C601" s="89"/>
      <c r="D601" s="183"/>
      <c r="E601" s="152"/>
      <c r="F601" s="151"/>
      <c r="G601" s="151"/>
      <c r="H601" s="151"/>
      <c r="I601" s="151"/>
      <c r="J601" s="152"/>
      <c r="K601" s="152"/>
      <c r="L601" s="152"/>
      <c r="M601" s="152"/>
      <c r="N601" s="150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</row>
    <row r="602" customFormat="false" ht="11.25" hidden="false" customHeight="true" outlineLevel="0" collapsed="false">
      <c r="A602" s="89"/>
      <c r="B602" s="89"/>
      <c r="C602" s="89"/>
      <c r="D602" s="183"/>
      <c r="E602" s="152"/>
      <c r="F602" s="151"/>
      <c r="G602" s="151"/>
      <c r="H602" s="151"/>
      <c r="I602" s="151"/>
      <c r="J602" s="152"/>
      <c r="K602" s="152"/>
      <c r="L602" s="152"/>
      <c r="M602" s="152"/>
      <c r="N602" s="150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</row>
    <row r="603" customFormat="false" ht="11.25" hidden="false" customHeight="true" outlineLevel="0" collapsed="false">
      <c r="A603" s="89"/>
      <c r="B603" s="89"/>
      <c r="C603" s="89"/>
      <c r="D603" s="183"/>
      <c r="E603" s="152"/>
      <c r="F603" s="151"/>
      <c r="G603" s="151"/>
      <c r="H603" s="151"/>
      <c r="I603" s="151"/>
      <c r="J603" s="152"/>
      <c r="K603" s="152"/>
      <c r="L603" s="152"/>
      <c r="M603" s="152"/>
      <c r="N603" s="150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</row>
    <row r="604" customFormat="false" ht="11.25" hidden="false" customHeight="true" outlineLevel="0" collapsed="false">
      <c r="A604" s="89"/>
      <c r="B604" s="89"/>
      <c r="C604" s="89"/>
      <c r="D604" s="183"/>
      <c r="E604" s="152"/>
      <c r="F604" s="151"/>
      <c r="G604" s="151"/>
      <c r="H604" s="151"/>
      <c r="I604" s="151"/>
      <c r="J604" s="152"/>
      <c r="K604" s="152"/>
      <c r="L604" s="152"/>
      <c r="M604" s="152"/>
      <c r="N604" s="150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</row>
    <row r="605" customFormat="false" ht="11.25" hidden="false" customHeight="true" outlineLevel="0" collapsed="false">
      <c r="A605" s="89"/>
      <c r="B605" s="89"/>
      <c r="C605" s="89"/>
      <c r="D605" s="183"/>
      <c r="E605" s="152"/>
      <c r="F605" s="151"/>
      <c r="G605" s="151"/>
      <c r="H605" s="151"/>
      <c r="I605" s="151"/>
      <c r="J605" s="152"/>
      <c r="K605" s="152"/>
      <c r="L605" s="152"/>
      <c r="M605" s="152"/>
      <c r="N605" s="150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</row>
    <row r="606" customFormat="false" ht="11.25" hidden="false" customHeight="true" outlineLevel="0" collapsed="false">
      <c r="A606" s="89"/>
      <c r="B606" s="89"/>
      <c r="C606" s="89"/>
      <c r="D606" s="183"/>
      <c r="E606" s="152"/>
      <c r="F606" s="151"/>
      <c r="G606" s="151"/>
      <c r="H606" s="151"/>
      <c r="I606" s="151"/>
      <c r="J606" s="152"/>
      <c r="K606" s="152"/>
      <c r="L606" s="152"/>
      <c r="M606" s="152"/>
      <c r="N606" s="150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</row>
    <row r="607" customFormat="false" ht="11.25" hidden="false" customHeight="true" outlineLevel="0" collapsed="false">
      <c r="A607" s="89"/>
      <c r="B607" s="89"/>
      <c r="C607" s="89"/>
      <c r="D607" s="183"/>
      <c r="E607" s="152"/>
      <c r="F607" s="151"/>
      <c r="G607" s="151"/>
      <c r="H607" s="151"/>
      <c r="I607" s="151"/>
      <c r="J607" s="152"/>
      <c r="K607" s="152"/>
      <c r="L607" s="152"/>
      <c r="M607" s="152"/>
      <c r="N607" s="150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</row>
    <row r="608" customFormat="false" ht="11.25" hidden="false" customHeight="true" outlineLevel="0" collapsed="false">
      <c r="A608" s="89"/>
      <c r="B608" s="89"/>
      <c r="C608" s="89"/>
      <c r="D608" s="183"/>
      <c r="E608" s="152"/>
      <c r="F608" s="151"/>
      <c r="G608" s="151"/>
      <c r="H608" s="151"/>
      <c r="I608" s="151"/>
      <c r="J608" s="152"/>
      <c r="K608" s="152"/>
      <c r="L608" s="152"/>
      <c r="M608" s="152"/>
      <c r="N608" s="150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</row>
    <row r="609" customFormat="false" ht="11.25" hidden="false" customHeight="true" outlineLevel="0" collapsed="false">
      <c r="A609" s="89"/>
      <c r="B609" s="89"/>
      <c r="C609" s="89"/>
      <c r="D609" s="183"/>
      <c r="E609" s="152"/>
      <c r="F609" s="151"/>
      <c r="G609" s="151"/>
      <c r="H609" s="151"/>
      <c r="I609" s="151"/>
      <c r="J609" s="152"/>
      <c r="K609" s="152"/>
      <c r="L609" s="152"/>
      <c r="M609" s="152"/>
      <c r="N609" s="150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</row>
    <row r="610" customFormat="false" ht="11.25" hidden="false" customHeight="true" outlineLevel="0" collapsed="false">
      <c r="A610" s="89"/>
      <c r="B610" s="89"/>
      <c r="C610" s="89"/>
      <c r="D610" s="183"/>
      <c r="E610" s="152"/>
      <c r="F610" s="151"/>
      <c r="G610" s="151"/>
      <c r="H610" s="151"/>
      <c r="I610" s="151"/>
      <c r="J610" s="152"/>
      <c r="K610" s="152"/>
      <c r="L610" s="152"/>
      <c r="M610" s="152"/>
      <c r="N610" s="150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</row>
    <row r="611" customFormat="false" ht="11.25" hidden="false" customHeight="true" outlineLevel="0" collapsed="false">
      <c r="A611" s="89"/>
      <c r="B611" s="89"/>
      <c r="C611" s="89"/>
      <c r="D611" s="183"/>
      <c r="E611" s="152"/>
      <c r="F611" s="151"/>
      <c r="G611" s="151"/>
      <c r="H611" s="151"/>
      <c r="I611" s="151"/>
      <c r="J611" s="152"/>
      <c r="K611" s="152"/>
      <c r="L611" s="152"/>
      <c r="M611" s="152"/>
      <c r="N611" s="150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</row>
    <row r="612" customFormat="false" ht="11.25" hidden="false" customHeight="true" outlineLevel="0" collapsed="false">
      <c r="A612" s="89"/>
      <c r="B612" s="89"/>
      <c r="C612" s="89"/>
      <c r="D612" s="183"/>
      <c r="E612" s="152"/>
      <c r="F612" s="151"/>
      <c r="G612" s="151"/>
      <c r="H612" s="151"/>
      <c r="I612" s="151"/>
      <c r="J612" s="152"/>
      <c r="K612" s="152"/>
      <c r="L612" s="152"/>
      <c r="M612" s="152"/>
      <c r="N612" s="150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</row>
    <row r="613" customFormat="false" ht="11.25" hidden="false" customHeight="true" outlineLevel="0" collapsed="false">
      <c r="A613" s="89"/>
      <c r="B613" s="89"/>
      <c r="C613" s="89"/>
      <c r="D613" s="183"/>
      <c r="E613" s="152"/>
      <c r="F613" s="151"/>
      <c r="G613" s="151"/>
      <c r="H613" s="151"/>
      <c r="I613" s="151"/>
      <c r="J613" s="152"/>
      <c r="K613" s="152"/>
      <c r="L613" s="152"/>
      <c r="M613" s="152"/>
      <c r="N613" s="150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</row>
    <row r="614" customFormat="false" ht="11.25" hidden="false" customHeight="true" outlineLevel="0" collapsed="false">
      <c r="A614" s="89"/>
      <c r="B614" s="89"/>
      <c r="C614" s="89"/>
      <c r="D614" s="183"/>
      <c r="E614" s="152"/>
      <c r="F614" s="151"/>
      <c r="G614" s="151"/>
      <c r="H614" s="151"/>
      <c r="I614" s="151"/>
      <c r="J614" s="152"/>
      <c r="K614" s="152"/>
      <c r="L614" s="152"/>
      <c r="M614" s="152"/>
      <c r="N614" s="150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</row>
    <row r="615" customFormat="false" ht="11.25" hidden="false" customHeight="true" outlineLevel="0" collapsed="false">
      <c r="A615" s="89"/>
      <c r="B615" s="89"/>
      <c r="C615" s="89"/>
      <c r="D615" s="183"/>
      <c r="E615" s="152"/>
      <c r="F615" s="151"/>
      <c r="G615" s="151"/>
      <c r="H615" s="151"/>
      <c r="I615" s="151"/>
      <c r="J615" s="152"/>
      <c r="K615" s="152"/>
      <c r="L615" s="152"/>
      <c r="M615" s="152"/>
      <c r="N615" s="150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</row>
    <row r="616" customFormat="false" ht="11.25" hidden="false" customHeight="true" outlineLevel="0" collapsed="false">
      <c r="A616" s="89"/>
      <c r="B616" s="89"/>
      <c r="C616" s="89"/>
      <c r="D616" s="183"/>
      <c r="E616" s="152"/>
      <c r="F616" s="151"/>
      <c r="G616" s="151"/>
      <c r="H616" s="151"/>
      <c r="I616" s="151"/>
      <c r="J616" s="152"/>
      <c r="K616" s="152"/>
      <c r="L616" s="152"/>
      <c r="M616" s="152"/>
      <c r="N616" s="150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</row>
    <row r="617" customFormat="false" ht="11.25" hidden="false" customHeight="true" outlineLevel="0" collapsed="false">
      <c r="A617" s="89"/>
      <c r="B617" s="89"/>
      <c r="C617" s="89"/>
      <c r="D617" s="183"/>
      <c r="E617" s="152"/>
      <c r="F617" s="151"/>
      <c r="G617" s="151"/>
      <c r="H617" s="151"/>
      <c r="I617" s="151"/>
      <c r="J617" s="152"/>
      <c r="K617" s="152"/>
      <c r="L617" s="152"/>
      <c r="M617" s="152"/>
      <c r="N617" s="150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</row>
    <row r="618" customFormat="false" ht="11.25" hidden="false" customHeight="true" outlineLevel="0" collapsed="false">
      <c r="A618" s="89"/>
      <c r="B618" s="89"/>
      <c r="C618" s="89"/>
      <c r="D618" s="183"/>
      <c r="E618" s="152"/>
      <c r="F618" s="151"/>
      <c r="G618" s="151"/>
      <c r="H618" s="151"/>
      <c r="I618" s="151"/>
      <c r="J618" s="152"/>
      <c r="K618" s="152"/>
      <c r="L618" s="152"/>
      <c r="M618" s="152"/>
      <c r="N618" s="150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</row>
    <row r="619" customFormat="false" ht="11.25" hidden="false" customHeight="true" outlineLevel="0" collapsed="false">
      <c r="A619" s="89"/>
      <c r="B619" s="89"/>
      <c r="C619" s="89"/>
      <c r="D619" s="183"/>
      <c r="E619" s="152"/>
      <c r="F619" s="151"/>
      <c r="G619" s="151"/>
      <c r="H619" s="151"/>
      <c r="I619" s="151"/>
      <c r="J619" s="152"/>
      <c r="K619" s="152"/>
      <c r="L619" s="152"/>
      <c r="M619" s="152"/>
      <c r="N619" s="150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</row>
    <row r="620" customFormat="false" ht="11.25" hidden="false" customHeight="true" outlineLevel="0" collapsed="false">
      <c r="A620" s="89"/>
      <c r="B620" s="89"/>
      <c r="C620" s="89"/>
      <c r="D620" s="183"/>
      <c r="E620" s="152"/>
      <c r="F620" s="151"/>
      <c r="G620" s="151"/>
      <c r="H620" s="151"/>
      <c r="I620" s="151"/>
      <c r="J620" s="152"/>
      <c r="K620" s="152"/>
      <c r="L620" s="152"/>
      <c r="M620" s="152"/>
      <c r="N620" s="150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</row>
    <row r="621" customFormat="false" ht="11.25" hidden="false" customHeight="true" outlineLevel="0" collapsed="false">
      <c r="A621" s="89"/>
      <c r="B621" s="89"/>
      <c r="C621" s="89"/>
      <c r="D621" s="183"/>
      <c r="E621" s="152"/>
      <c r="F621" s="151"/>
      <c r="G621" s="151"/>
      <c r="H621" s="151"/>
      <c r="I621" s="151"/>
      <c r="J621" s="152"/>
      <c r="K621" s="152"/>
      <c r="L621" s="152"/>
      <c r="M621" s="152"/>
      <c r="N621" s="150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</row>
    <row r="622" customFormat="false" ht="11.25" hidden="false" customHeight="true" outlineLevel="0" collapsed="false">
      <c r="A622" s="89"/>
      <c r="B622" s="89"/>
      <c r="C622" s="89"/>
      <c r="D622" s="183"/>
      <c r="E622" s="152"/>
      <c r="F622" s="151"/>
      <c r="G622" s="151"/>
      <c r="H622" s="151"/>
      <c r="I622" s="151"/>
      <c r="J622" s="152"/>
      <c r="K622" s="152"/>
      <c r="L622" s="152"/>
      <c r="M622" s="152"/>
      <c r="N622" s="150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</row>
    <row r="623" customFormat="false" ht="11.25" hidden="false" customHeight="true" outlineLevel="0" collapsed="false">
      <c r="A623" s="89"/>
      <c r="B623" s="89"/>
      <c r="C623" s="89"/>
      <c r="D623" s="183"/>
      <c r="E623" s="152"/>
      <c r="F623" s="151"/>
      <c r="G623" s="151"/>
      <c r="H623" s="151"/>
      <c r="I623" s="151"/>
      <c r="J623" s="152"/>
      <c r="K623" s="152"/>
      <c r="L623" s="152"/>
      <c r="M623" s="152"/>
      <c r="N623" s="150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</row>
    <row r="624" customFormat="false" ht="11.25" hidden="false" customHeight="true" outlineLevel="0" collapsed="false">
      <c r="A624" s="89"/>
      <c r="B624" s="89"/>
      <c r="C624" s="89"/>
      <c r="D624" s="183"/>
      <c r="E624" s="152"/>
      <c r="F624" s="151"/>
      <c r="G624" s="151"/>
      <c r="H624" s="151"/>
      <c r="I624" s="151"/>
      <c r="J624" s="152"/>
      <c r="K624" s="152"/>
      <c r="L624" s="152"/>
      <c r="M624" s="152"/>
      <c r="N624" s="150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</row>
    <row r="625" customFormat="false" ht="11.25" hidden="false" customHeight="true" outlineLevel="0" collapsed="false">
      <c r="A625" s="89"/>
      <c r="B625" s="89"/>
      <c r="C625" s="89"/>
      <c r="D625" s="183"/>
      <c r="E625" s="152"/>
      <c r="F625" s="151"/>
      <c r="G625" s="151"/>
      <c r="H625" s="151"/>
      <c r="I625" s="151"/>
      <c r="J625" s="152"/>
      <c r="K625" s="152"/>
      <c r="L625" s="152"/>
      <c r="M625" s="152"/>
      <c r="N625" s="150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</row>
    <row r="626" customFormat="false" ht="11.25" hidden="false" customHeight="true" outlineLevel="0" collapsed="false">
      <c r="A626" s="89"/>
      <c r="B626" s="89"/>
      <c r="C626" s="89"/>
      <c r="D626" s="183"/>
      <c r="E626" s="152"/>
      <c r="F626" s="151"/>
      <c r="G626" s="151"/>
      <c r="H626" s="151"/>
      <c r="I626" s="151"/>
      <c r="J626" s="152"/>
      <c r="K626" s="152"/>
      <c r="L626" s="152"/>
      <c r="M626" s="152"/>
      <c r="N626" s="150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</row>
    <row r="627" customFormat="false" ht="11.25" hidden="false" customHeight="true" outlineLevel="0" collapsed="false">
      <c r="A627" s="89"/>
      <c r="B627" s="89"/>
      <c r="C627" s="89"/>
      <c r="D627" s="183"/>
      <c r="E627" s="152"/>
      <c r="F627" s="151"/>
      <c r="G627" s="151"/>
      <c r="H627" s="151"/>
      <c r="I627" s="151"/>
      <c r="J627" s="152"/>
      <c r="K627" s="152"/>
      <c r="L627" s="152"/>
      <c r="M627" s="152"/>
      <c r="N627" s="150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</row>
    <row r="628" customFormat="false" ht="11.25" hidden="false" customHeight="true" outlineLevel="0" collapsed="false">
      <c r="A628" s="89"/>
      <c r="B628" s="89"/>
      <c r="C628" s="89"/>
      <c r="D628" s="183"/>
      <c r="E628" s="152"/>
      <c r="F628" s="151"/>
      <c r="G628" s="151"/>
      <c r="H628" s="151"/>
      <c r="I628" s="151"/>
      <c r="J628" s="152"/>
      <c r="K628" s="152"/>
      <c r="L628" s="152"/>
      <c r="M628" s="152"/>
      <c r="N628" s="150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</row>
    <row r="629" customFormat="false" ht="11.25" hidden="false" customHeight="true" outlineLevel="0" collapsed="false">
      <c r="A629" s="89"/>
      <c r="B629" s="89"/>
      <c r="C629" s="89"/>
      <c r="D629" s="183"/>
      <c r="E629" s="152"/>
      <c r="F629" s="151"/>
      <c r="G629" s="151"/>
      <c r="H629" s="151"/>
      <c r="I629" s="151"/>
      <c r="J629" s="152"/>
      <c r="K629" s="152"/>
      <c r="L629" s="152"/>
      <c r="M629" s="152"/>
      <c r="N629" s="150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</row>
    <row r="630" customFormat="false" ht="11.25" hidden="false" customHeight="true" outlineLevel="0" collapsed="false">
      <c r="A630" s="89"/>
      <c r="B630" s="89"/>
      <c r="C630" s="89"/>
      <c r="D630" s="183"/>
      <c r="E630" s="152"/>
      <c r="F630" s="151"/>
      <c r="G630" s="151"/>
      <c r="H630" s="151"/>
      <c r="I630" s="151"/>
      <c r="J630" s="152"/>
      <c r="K630" s="152"/>
      <c r="L630" s="152"/>
      <c r="M630" s="152"/>
      <c r="N630" s="150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</row>
    <row r="631" customFormat="false" ht="11.25" hidden="false" customHeight="true" outlineLevel="0" collapsed="false">
      <c r="A631" s="89"/>
      <c r="B631" s="89"/>
      <c r="C631" s="89"/>
      <c r="D631" s="183"/>
      <c r="E631" s="152"/>
      <c r="F631" s="151"/>
      <c r="G631" s="151"/>
      <c r="H631" s="151"/>
      <c r="I631" s="151"/>
      <c r="J631" s="152"/>
      <c r="K631" s="152"/>
      <c r="L631" s="152"/>
      <c r="M631" s="152"/>
      <c r="N631" s="150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</row>
    <row r="632" customFormat="false" ht="11.25" hidden="false" customHeight="true" outlineLevel="0" collapsed="false">
      <c r="A632" s="89"/>
      <c r="B632" s="89"/>
      <c r="C632" s="89"/>
      <c r="D632" s="183"/>
      <c r="E632" s="152"/>
      <c r="F632" s="151"/>
      <c r="G632" s="151"/>
      <c r="H632" s="151"/>
      <c r="I632" s="151"/>
      <c r="J632" s="152"/>
      <c r="K632" s="152"/>
      <c r="L632" s="152"/>
      <c r="M632" s="152"/>
      <c r="N632" s="150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</row>
    <row r="633" customFormat="false" ht="11.25" hidden="false" customHeight="true" outlineLevel="0" collapsed="false">
      <c r="A633" s="89"/>
      <c r="B633" s="89"/>
      <c r="C633" s="89"/>
      <c r="D633" s="183"/>
      <c r="E633" s="152"/>
      <c r="F633" s="151"/>
      <c r="G633" s="151"/>
      <c r="H633" s="151"/>
      <c r="I633" s="151"/>
      <c r="J633" s="152"/>
      <c r="K633" s="152"/>
      <c r="L633" s="152"/>
      <c r="M633" s="152"/>
      <c r="N633" s="150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</row>
    <row r="634" customFormat="false" ht="11.25" hidden="false" customHeight="true" outlineLevel="0" collapsed="false">
      <c r="A634" s="89"/>
      <c r="B634" s="89"/>
      <c r="C634" s="89"/>
      <c r="D634" s="183"/>
      <c r="E634" s="152"/>
      <c r="F634" s="151"/>
      <c r="G634" s="151"/>
      <c r="H634" s="151"/>
      <c r="I634" s="151"/>
      <c r="J634" s="152"/>
      <c r="K634" s="152"/>
      <c r="L634" s="152"/>
      <c r="M634" s="152"/>
      <c r="N634" s="150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</row>
    <row r="635" customFormat="false" ht="11.25" hidden="false" customHeight="true" outlineLevel="0" collapsed="false">
      <c r="A635" s="89"/>
      <c r="B635" s="89"/>
      <c r="C635" s="89"/>
      <c r="D635" s="183"/>
      <c r="E635" s="152"/>
      <c r="F635" s="151"/>
      <c r="G635" s="151"/>
      <c r="H635" s="151"/>
      <c r="I635" s="151"/>
      <c r="J635" s="152"/>
      <c r="K635" s="152"/>
      <c r="L635" s="152"/>
      <c r="M635" s="152"/>
      <c r="N635" s="150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</row>
    <row r="636" customFormat="false" ht="11.25" hidden="false" customHeight="true" outlineLevel="0" collapsed="false">
      <c r="A636" s="89"/>
      <c r="B636" s="89"/>
      <c r="C636" s="89"/>
      <c r="D636" s="183"/>
      <c r="E636" s="152"/>
      <c r="F636" s="151"/>
      <c r="G636" s="151"/>
      <c r="H636" s="151"/>
      <c r="I636" s="151"/>
      <c r="J636" s="152"/>
      <c r="K636" s="152"/>
      <c r="L636" s="152"/>
      <c r="M636" s="152"/>
      <c r="N636" s="150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</row>
    <row r="637" customFormat="false" ht="11.25" hidden="false" customHeight="true" outlineLevel="0" collapsed="false">
      <c r="A637" s="89"/>
      <c r="B637" s="89"/>
      <c r="C637" s="89"/>
      <c r="D637" s="183"/>
      <c r="E637" s="152"/>
      <c r="F637" s="151"/>
      <c r="G637" s="151"/>
      <c r="H637" s="151"/>
      <c r="I637" s="151"/>
      <c r="J637" s="152"/>
      <c r="K637" s="152"/>
      <c r="L637" s="152"/>
      <c r="M637" s="152"/>
      <c r="N637" s="150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</row>
    <row r="638" customFormat="false" ht="11.25" hidden="false" customHeight="true" outlineLevel="0" collapsed="false">
      <c r="A638" s="89"/>
      <c r="B638" s="89"/>
      <c r="C638" s="89"/>
      <c r="D638" s="183"/>
      <c r="E638" s="152"/>
      <c r="F638" s="151"/>
      <c r="G638" s="151"/>
      <c r="H638" s="151"/>
      <c r="I638" s="151"/>
      <c r="J638" s="152"/>
      <c r="K638" s="152"/>
      <c r="L638" s="152"/>
      <c r="M638" s="152"/>
      <c r="N638" s="150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</row>
    <row r="639" customFormat="false" ht="11.25" hidden="false" customHeight="true" outlineLevel="0" collapsed="false">
      <c r="A639" s="89"/>
      <c r="B639" s="89"/>
      <c r="C639" s="89"/>
      <c r="D639" s="183"/>
      <c r="E639" s="152"/>
      <c r="F639" s="151"/>
      <c r="G639" s="151"/>
      <c r="H639" s="151"/>
      <c r="I639" s="151"/>
      <c r="J639" s="152"/>
      <c r="K639" s="152"/>
      <c r="L639" s="152"/>
      <c r="M639" s="152"/>
      <c r="N639" s="150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</row>
    <row r="640" customFormat="false" ht="11.25" hidden="false" customHeight="true" outlineLevel="0" collapsed="false">
      <c r="A640" s="89"/>
      <c r="B640" s="89"/>
      <c r="C640" s="89"/>
      <c r="D640" s="183"/>
      <c r="E640" s="152"/>
      <c r="F640" s="151"/>
      <c r="G640" s="151"/>
      <c r="H640" s="151"/>
      <c r="I640" s="151"/>
      <c r="J640" s="152"/>
      <c r="K640" s="152"/>
      <c r="L640" s="152"/>
      <c r="M640" s="152"/>
      <c r="N640" s="150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</row>
    <row r="641" customFormat="false" ht="11.25" hidden="false" customHeight="true" outlineLevel="0" collapsed="false">
      <c r="A641" s="89"/>
      <c r="B641" s="89"/>
      <c r="C641" s="89"/>
      <c r="D641" s="183"/>
      <c r="E641" s="152"/>
      <c r="F641" s="151"/>
      <c r="G641" s="151"/>
      <c r="H641" s="151"/>
      <c r="I641" s="151"/>
      <c r="J641" s="152"/>
      <c r="K641" s="152"/>
      <c r="L641" s="152"/>
      <c r="M641" s="152"/>
      <c r="N641" s="150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</row>
    <row r="642" customFormat="false" ht="11.25" hidden="false" customHeight="true" outlineLevel="0" collapsed="false">
      <c r="A642" s="89"/>
      <c r="B642" s="89"/>
      <c r="C642" s="89"/>
      <c r="D642" s="183"/>
      <c r="E642" s="152"/>
      <c r="F642" s="151"/>
      <c r="G642" s="151"/>
      <c r="H642" s="151"/>
      <c r="I642" s="151"/>
      <c r="J642" s="152"/>
      <c r="K642" s="152"/>
      <c r="L642" s="152"/>
      <c r="M642" s="152"/>
      <c r="N642" s="150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</row>
    <row r="643" customFormat="false" ht="11.25" hidden="false" customHeight="true" outlineLevel="0" collapsed="false">
      <c r="A643" s="89"/>
      <c r="B643" s="89"/>
      <c r="C643" s="89"/>
      <c r="D643" s="183"/>
      <c r="E643" s="152"/>
      <c r="F643" s="151"/>
      <c r="G643" s="151"/>
      <c r="H643" s="151"/>
      <c r="I643" s="151"/>
      <c r="J643" s="152"/>
      <c r="K643" s="152"/>
      <c r="L643" s="152"/>
      <c r="M643" s="152"/>
      <c r="N643" s="150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</row>
    <row r="644" customFormat="false" ht="11.25" hidden="false" customHeight="true" outlineLevel="0" collapsed="false">
      <c r="A644" s="89"/>
      <c r="B644" s="89"/>
      <c r="C644" s="89"/>
      <c r="D644" s="183"/>
      <c r="E644" s="152"/>
      <c r="F644" s="151"/>
      <c r="G644" s="151"/>
      <c r="H644" s="151"/>
      <c r="I644" s="151"/>
      <c r="J644" s="152"/>
      <c r="K644" s="152"/>
      <c r="L644" s="152"/>
      <c r="M644" s="152"/>
      <c r="N644" s="150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</row>
    <row r="645" customFormat="false" ht="11.25" hidden="false" customHeight="true" outlineLevel="0" collapsed="false">
      <c r="A645" s="89"/>
      <c r="B645" s="89"/>
      <c r="C645" s="89"/>
      <c r="D645" s="183"/>
      <c r="E645" s="152"/>
      <c r="F645" s="151"/>
      <c r="G645" s="151"/>
      <c r="H645" s="151"/>
      <c r="I645" s="151"/>
      <c r="J645" s="152"/>
      <c r="K645" s="152"/>
      <c r="L645" s="152"/>
      <c r="M645" s="152"/>
      <c r="N645" s="150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</row>
    <row r="646" customFormat="false" ht="11.25" hidden="false" customHeight="true" outlineLevel="0" collapsed="false">
      <c r="A646" s="89"/>
      <c r="B646" s="89"/>
      <c r="C646" s="89"/>
      <c r="D646" s="183"/>
      <c r="E646" s="152"/>
      <c r="F646" s="151"/>
      <c r="G646" s="151"/>
      <c r="H646" s="151"/>
      <c r="I646" s="151"/>
      <c r="J646" s="152"/>
      <c r="K646" s="152"/>
      <c r="L646" s="152"/>
      <c r="M646" s="152"/>
      <c r="N646" s="150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</row>
    <row r="647" customFormat="false" ht="11.25" hidden="false" customHeight="true" outlineLevel="0" collapsed="false">
      <c r="A647" s="89"/>
      <c r="B647" s="89"/>
      <c r="C647" s="89"/>
      <c r="D647" s="183"/>
      <c r="E647" s="152"/>
      <c r="F647" s="151"/>
      <c r="G647" s="151"/>
      <c r="H647" s="151"/>
      <c r="I647" s="151"/>
      <c r="J647" s="152"/>
      <c r="K647" s="152"/>
      <c r="L647" s="152"/>
      <c r="M647" s="152"/>
      <c r="N647" s="150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</row>
    <row r="648" customFormat="false" ht="11.25" hidden="false" customHeight="true" outlineLevel="0" collapsed="false">
      <c r="A648" s="89"/>
      <c r="B648" s="89"/>
      <c r="C648" s="89"/>
      <c r="D648" s="183"/>
      <c r="E648" s="152"/>
      <c r="F648" s="151"/>
      <c r="G648" s="151"/>
      <c r="H648" s="151"/>
      <c r="I648" s="151"/>
      <c r="J648" s="152"/>
      <c r="K648" s="152"/>
      <c r="L648" s="152"/>
      <c r="M648" s="152"/>
      <c r="N648" s="150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</row>
    <row r="649" customFormat="false" ht="11.25" hidden="false" customHeight="true" outlineLevel="0" collapsed="false">
      <c r="A649" s="89"/>
      <c r="B649" s="89"/>
      <c r="C649" s="89"/>
      <c r="D649" s="183"/>
      <c r="E649" s="152"/>
      <c r="F649" s="151"/>
      <c r="G649" s="151"/>
      <c r="H649" s="151"/>
      <c r="I649" s="151"/>
      <c r="J649" s="152"/>
      <c r="K649" s="152"/>
      <c r="L649" s="152"/>
      <c r="M649" s="152"/>
      <c r="N649" s="150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</row>
    <row r="650" customFormat="false" ht="11.25" hidden="false" customHeight="true" outlineLevel="0" collapsed="false">
      <c r="A650" s="89"/>
      <c r="B650" s="89"/>
      <c r="C650" s="89"/>
      <c r="D650" s="183"/>
      <c r="E650" s="152"/>
      <c r="F650" s="151"/>
      <c r="G650" s="151"/>
      <c r="H650" s="151"/>
      <c r="I650" s="151"/>
      <c r="J650" s="152"/>
      <c r="K650" s="152"/>
      <c r="L650" s="152"/>
      <c r="M650" s="152"/>
      <c r="N650" s="150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</row>
    <row r="651" customFormat="false" ht="11.25" hidden="false" customHeight="true" outlineLevel="0" collapsed="false">
      <c r="A651" s="89"/>
      <c r="B651" s="89"/>
      <c r="C651" s="89"/>
      <c r="D651" s="183"/>
      <c r="E651" s="152"/>
      <c r="F651" s="151"/>
      <c r="G651" s="151"/>
      <c r="H651" s="151"/>
      <c r="I651" s="151"/>
      <c r="J651" s="152"/>
      <c r="K651" s="152"/>
      <c r="L651" s="152"/>
      <c r="M651" s="152"/>
      <c r="N651" s="150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</row>
    <row r="652" customFormat="false" ht="11.25" hidden="false" customHeight="true" outlineLevel="0" collapsed="false">
      <c r="A652" s="89"/>
      <c r="B652" s="89"/>
      <c r="C652" s="89"/>
      <c r="D652" s="183"/>
      <c r="E652" s="152"/>
      <c r="F652" s="151"/>
      <c r="G652" s="151"/>
      <c r="H652" s="151"/>
      <c r="I652" s="151"/>
      <c r="J652" s="152"/>
      <c r="K652" s="152"/>
      <c r="L652" s="152"/>
      <c r="M652" s="152"/>
      <c r="N652" s="150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</row>
    <row r="653" customFormat="false" ht="11.25" hidden="false" customHeight="true" outlineLevel="0" collapsed="false">
      <c r="A653" s="89"/>
      <c r="B653" s="89"/>
      <c r="C653" s="89"/>
      <c r="D653" s="183"/>
      <c r="E653" s="152"/>
      <c r="F653" s="151"/>
      <c r="G653" s="151"/>
      <c r="H653" s="151"/>
      <c r="I653" s="151"/>
      <c r="J653" s="152"/>
      <c r="K653" s="152"/>
      <c r="L653" s="152"/>
      <c r="M653" s="152"/>
      <c r="N653" s="150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</row>
    <row r="654" customFormat="false" ht="11.25" hidden="false" customHeight="true" outlineLevel="0" collapsed="false">
      <c r="A654" s="89"/>
      <c r="B654" s="89"/>
      <c r="C654" s="89"/>
      <c r="D654" s="183"/>
      <c r="E654" s="152"/>
      <c r="F654" s="151"/>
      <c r="G654" s="151"/>
      <c r="H654" s="151"/>
      <c r="I654" s="151"/>
      <c r="J654" s="152"/>
      <c r="K654" s="152"/>
      <c r="L654" s="152"/>
      <c r="M654" s="152"/>
      <c r="N654" s="150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</row>
    <row r="655" customFormat="false" ht="11.25" hidden="false" customHeight="true" outlineLevel="0" collapsed="false">
      <c r="A655" s="89"/>
      <c r="B655" s="89"/>
      <c r="C655" s="89"/>
      <c r="D655" s="183"/>
      <c r="E655" s="152"/>
      <c r="F655" s="151"/>
      <c r="G655" s="151"/>
      <c r="H655" s="151"/>
      <c r="I655" s="151"/>
      <c r="J655" s="152"/>
      <c r="K655" s="152"/>
      <c r="L655" s="152"/>
      <c r="M655" s="152"/>
      <c r="N655" s="150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</row>
    <row r="656" customFormat="false" ht="11.25" hidden="false" customHeight="true" outlineLevel="0" collapsed="false">
      <c r="A656" s="89"/>
      <c r="B656" s="89"/>
      <c r="C656" s="89"/>
      <c r="D656" s="183"/>
      <c r="E656" s="152"/>
      <c r="F656" s="151"/>
      <c r="G656" s="151"/>
      <c r="H656" s="151"/>
      <c r="I656" s="151"/>
      <c r="J656" s="152"/>
      <c r="K656" s="152"/>
      <c r="L656" s="152"/>
      <c r="M656" s="152"/>
      <c r="N656" s="150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</row>
    <row r="657" customFormat="false" ht="11.25" hidden="false" customHeight="true" outlineLevel="0" collapsed="false">
      <c r="A657" s="89"/>
      <c r="B657" s="89"/>
      <c r="C657" s="89"/>
      <c r="D657" s="183"/>
      <c r="E657" s="152"/>
      <c r="F657" s="151"/>
      <c r="G657" s="151"/>
      <c r="H657" s="151"/>
      <c r="I657" s="151"/>
      <c r="J657" s="152"/>
      <c r="K657" s="152"/>
      <c r="L657" s="152"/>
      <c r="M657" s="152"/>
      <c r="N657" s="150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</row>
    <row r="658" customFormat="false" ht="11.25" hidden="false" customHeight="true" outlineLevel="0" collapsed="false">
      <c r="A658" s="89"/>
      <c r="B658" s="89"/>
      <c r="C658" s="89"/>
      <c r="D658" s="183"/>
      <c r="E658" s="152"/>
      <c r="F658" s="151"/>
      <c r="G658" s="151"/>
      <c r="H658" s="151"/>
      <c r="I658" s="151"/>
      <c r="J658" s="152"/>
      <c r="K658" s="152"/>
      <c r="L658" s="152"/>
      <c r="M658" s="152"/>
      <c r="N658" s="150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</row>
    <row r="659" customFormat="false" ht="11.25" hidden="false" customHeight="true" outlineLevel="0" collapsed="false">
      <c r="A659" s="89"/>
      <c r="B659" s="89"/>
      <c r="C659" s="89"/>
      <c r="D659" s="183"/>
      <c r="E659" s="152"/>
      <c r="F659" s="151"/>
      <c r="G659" s="151"/>
      <c r="H659" s="151"/>
      <c r="I659" s="151"/>
      <c r="J659" s="152"/>
      <c r="K659" s="152"/>
      <c r="L659" s="152"/>
      <c r="M659" s="152"/>
      <c r="N659" s="150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</row>
    <row r="660" customFormat="false" ht="11.25" hidden="false" customHeight="true" outlineLevel="0" collapsed="false">
      <c r="A660" s="89"/>
      <c r="B660" s="89"/>
      <c r="C660" s="89"/>
      <c r="D660" s="183"/>
      <c r="E660" s="152"/>
      <c r="F660" s="151"/>
      <c r="G660" s="151"/>
      <c r="H660" s="151"/>
      <c r="I660" s="151"/>
      <c r="J660" s="152"/>
      <c r="K660" s="152"/>
      <c r="L660" s="152"/>
      <c r="M660" s="152"/>
      <c r="N660" s="150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</row>
    <row r="661" customFormat="false" ht="11.25" hidden="false" customHeight="true" outlineLevel="0" collapsed="false">
      <c r="A661" s="89"/>
      <c r="B661" s="89"/>
      <c r="C661" s="89"/>
      <c r="D661" s="183"/>
      <c r="E661" s="152"/>
      <c r="F661" s="151"/>
      <c r="G661" s="151"/>
      <c r="H661" s="151"/>
      <c r="I661" s="151"/>
      <c r="J661" s="152"/>
      <c r="K661" s="152"/>
      <c r="L661" s="152"/>
      <c r="M661" s="152"/>
      <c r="N661" s="150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</row>
    <row r="662" customFormat="false" ht="11.25" hidden="false" customHeight="true" outlineLevel="0" collapsed="false">
      <c r="A662" s="89"/>
      <c r="B662" s="89"/>
      <c r="C662" s="89"/>
      <c r="D662" s="183"/>
      <c r="E662" s="152"/>
      <c r="F662" s="151"/>
      <c r="G662" s="151"/>
      <c r="H662" s="151"/>
      <c r="I662" s="151"/>
      <c r="J662" s="152"/>
      <c r="K662" s="152"/>
      <c r="L662" s="152"/>
      <c r="M662" s="152"/>
      <c r="N662" s="150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</row>
    <row r="663" customFormat="false" ht="11.25" hidden="false" customHeight="true" outlineLevel="0" collapsed="false">
      <c r="A663" s="89"/>
      <c r="B663" s="89"/>
      <c r="C663" s="89"/>
      <c r="D663" s="183"/>
      <c r="E663" s="152"/>
      <c r="F663" s="151"/>
      <c r="G663" s="151"/>
      <c r="H663" s="151"/>
      <c r="I663" s="151"/>
      <c r="J663" s="152"/>
      <c r="K663" s="152"/>
      <c r="L663" s="152"/>
      <c r="M663" s="152"/>
      <c r="N663" s="150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</row>
    <row r="664" customFormat="false" ht="11.25" hidden="false" customHeight="true" outlineLevel="0" collapsed="false">
      <c r="A664" s="89"/>
      <c r="B664" s="89"/>
      <c r="C664" s="89"/>
      <c r="D664" s="183"/>
      <c r="E664" s="152"/>
      <c r="F664" s="151"/>
      <c r="G664" s="151"/>
      <c r="H664" s="151"/>
      <c r="I664" s="151"/>
      <c r="J664" s="152"/>
      <c r="K664" s="152"/>
      <c r="L664" s="152"/>
      <c r="M664" s="152"/>
      <c r="N664" s="150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</row>
    <row r="665" customFormat="false" ht="11.25" hidden="false" customHeight="true" outlineLevel="0" collapsed="false">
      <c r="A665" s="89"/>
      <c r="B665" s="89"/>
      <c r="C665" s="89"/>
      <c r="D665" s="183"/>
      <c r="E665" s="152"/>
      <c r="F665" s="151"/>
      <c r="G665" s="151"/>
      <c r="H665" s="151"/>
      <c r="I665" s="151"/>
      <c r="J665" s="152"/>
      <c r="K665" s="152"/>
      <c r="L665" s="152"/>
      <c r="M665" s="152"/>
      <c r="N665" s="150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</row>
    <row r="666" customFormat="false" ht="11.25" hidden="false" customHeight="true" outlineLevel="0" collapsed="false">
      <c r="A666" s="89"/>
      <c r="B666" s="89"/>
      <c r="C666" s="89"/>
      <c r="D666" s="183"/>
      <c r="E666" s="152"/>
      <c r="F666" s="151"/>
      <c r="G666" s="151"/>
      <c r="H666" s="151"/>
      <c r="I666" s="151"/>
      <c r="J666" s="152"/>
      <c r="K666" s="152"/>
      <c r="L666" s="152"/>
      <c r="M666" s="152"/>
      <c r="N666" s="150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</row>
    <row r="667" customFormat="false" ht="11.25" hidden="false" customHeight="true" outlineLevel="0" collapsed="false">
      <c r="A667" s="89"/>
      <c r="B667" s="89"/>
      <c r="C667" s="89"/>
      <c r="D667" s="183"/>
      <c r="E667" s="152"/>
      <c r="F667" s="151"/>
      <c r="G667" s="151"/>
      <c r="H667" s="151"/>
      <c r="I667" s="151"/>
      <c r="J667" s="152"/>
      <c r="K667" s="152"/>
      <c r="L667" s="152"/>
      <c r="M667" s="152"/>
      <c r="N667" s="150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</row>
    <row r="668" customFormat="false" ht="11.25" hidden="false" customHeight="true" outlineLevel="0" collapsed="false">
      <c r="A668" s="89"/>
      <c r="B668" s="89"/>
      <c r="C668" s="89"/>
      <c r="D668" s="183"/>
      <c r="E668" s="152"/>
      <c r="F668" s="151"/>
      <c r="G668" s="151"/>
      <c r="H668" s="151"/>
      <c r="I668" s="151"/>
      <c r="J668" s="152"/>
      <c r="K668" s="152"/>
      <c r="L668" s="152"/>
      <c r="M668" s="152"/>
      <c r="N668" s="150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</row>
    <row r="669" customFormat="false" ht="11.25" hidden="false" customHeight="true" outlineLevel="0" collapsed="false">
      <c r="A669" s="89"/>
      <c r="B669" s="89"/>
      <c r="C669" s="89"/>
      <c r="D669" s="183"/>
      <c r="E669" s="152"/>
      <c r="F669" s="151"/>
      <c r="G669" s="151"/>
      <c r="H669" s="151"/>
      <c r="I669" s="151"/>
      <c r="J669" s="152"/>
      <c r="K669" s="152"/>
      <c r="L669" s="152"/>
      <c r="M669" s="152"/>
      <c r="N669" s="150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</row>
    <row r="670" customFormat="false" ht="11.25" hidden="false" customHeight="true" outlineLevel="0" collapsed="false">
      <c r="A670" s="89"/>
      <c r="B670" s="89"/>
      <c r="C670" s="89"/>
      <c r="D670" s="183"/>
      <c r="E670" s="152"/>
      <c r="F670" s="151"/>
      <c r="G670" s="151"/>
      <c r="H670" s="151"/>
      <c r="I670" s="151"/>
      <c r="J670" s="152"/>
      <c r="K670" s="152"/>
      <c r="L670" s="152"/>
      <c r="M670" s="152"/>
      <c r="N670" s="150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</row>
    <row r="671" customFormat="false" ht="11.25" hidden="false" customHeight="true" outlineLevel="0" collapsed="false">
      <c r="A671" s="89"/>
      <c r="B671" s="89"/>
      <c r="C671" s="89"/>
      <c r="D671" s="183"/>
      <c r="E671" s="152"/>
      <c r="F671" s="151"/>
      <c r="G671" s="151"/>
      <c r="H671" s="151"/>
      <c r="I671" s="151"/>
      <c r="J671" s="152"/>
      <c r="K671" s="152"/>
      <c r="L671" s="152"/>
      <c r="M671" s="152"/>
      <c r="N671" s="150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</row>
    <row r="672" customFormat="false" ht="11.25" hidden="false" customHeight="true" outlineLevel="0" collapsed="false">
      <c r="A672" s="89"/>
      <c r="B672" s="89"/>
      <c r="C672" s="89"/>
      <c r="D672" s="183"/>
      <c r="E672" s="152"/>
      <c r="F672" s="151"/>
      <c r="G672" s="151"/>
      <c r="H672" s="151"/>
      <c r="I672" s="151"/>
      <c r="J672" s="152"/>
      <c r="K672" s="152"/>
      <c r="L672" s="152"/>
      <c r="M672" s="152"/>
      <c r="N672" s="150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</row>
    <row r="673" customFormat="false" ht="11.25" hidden="false" customHeight="true" outlineLevel="0" collapsed="false">
      <c r="A673" s="89"/>
      <c r="B673" s="89"/>
      <c r="C673" s="89"/>
      <c r="D673" s="183"/>
      <c r="E673" s="152"/>
      <c r="F673" s="151"/>
      <c r="G673" s="151"/>
      <c r="H673" s="151"/>
      <c r="I673" s="151"/>
      <c r="J673" s="152"/>
      <c r="K673" s="152"/>
      <c r="L673" s="152"/>
      <c r="M673" s="152"/>
      <c r="N673" s="150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</row>
    <row r="674" customFormat="false" ht="11.25" hidden="false" customHeight="true" outlineLevel="0" collapsed="false">
      <c r="A674" s="89"/>
      <c r="B674" s="89"/>
      <c r="C674" s="89"/>
      <c r="D674" s="183"/>
      <c r="E674" s="152"/>
      <c r="F674" s="151"/>
      <c r="G674" s="151"/>
      <c r="H674" s="151"/>
      <c r="I674" s="151"/>
      <c r="J674" s="152"/>
      <c r="K674" s="152"/>
      <c r="L674" s="152"/>
      <c r="M674" s="152"/>
      <c r="N674" s="150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</row>
    <row r="675" customFormat="false" ht="11.25" hidden="false" customHeight="true" outlineLevel="0" collapsed="false">
      <c r="A675" s="89"/>
      <c r="B675" s="89"/>
      <c r="C675" s="89"/>
      <c r="D675" s="183"/>
      <c r="E675" s="152"/>
      <c r="F675" s="151"/>
      <c r="G675" s="151"/>
      <c r="H675" s="151"/>
      <c r="I675" s="151"/>
      <c r="J675" s="152"/>
      <c r="K675" s="152"/>
      <c r="L675" s="152"/>
      <c r="M675" s="152"/>
      <c r="N675" s="150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</row>
    <row r="676" customFormat="false" ht="11.25" hidden="false" customHeight="true" outlineLevel="0" collapsed="false">
      <c r="A676" s="89"/>
      <c r="B676" s="89"/>
      <c r="C676" s="89"/>
      <c r="D676" s="183"/>
      <c r="E676" s="152"/>
      <c r="F676" s="151"/>
      <c r="G676" s="151"/>
      <c r="H676" s="151"/>
      <c r="I676" s="151"/>
      <c r="J676" s="152"/>
      <c r="K676" s="152"/>
      <c r="L676" s="152"/>
      <c r="M676" s="152"/>
      <c r="N676" s="150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</row>
    <row r="677" customFormat="false" ht="11.25" hidden="false" customHeight="true" outlineLevel="0" collapsed="false">
      <c r="A677" s="89"/>
      <c r="B677" s="89"/>
      <c r="C677" s="89"/>
      <c r="D677" s="183"/>
      <c r="E677" s="152"/>
      <c r="F677" s="151"/>
      <c r="G677" s="151"/>
      <c r="H677" s="151"/>
      <c r="I677" s="151"/>
      <c r="J677" s="152"/>
      <c r="K677" s="152"/>
      <c r="L677" s="152"/>
      <c r="M677" s="152"/>
      <c r="N677" s="150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</row>
    <row r="678" customFormat="false" ht="11.25" hidden="false" customHeight="true" outlineLevel="0" collapsed="false">
      <c r="A678" s="89"/>
      <c r="B678" s="89"/>
      <c r="C678" s="89"/>
      <c r="D678" s="183"/>
      <c r="E678" s="152"/>
      <c r="F678" s="151"/>
      <c r="G678" s="151"/>
      <c r="H678" s="151"/>
      <c r="I678" s="151"/>
      <c r="J678" s="152"/>
      <c r="K678" s="152"/>
      <c r="L678" s="152"/>
      <c r="M678" s="152"/>
      <c r="N678" s="150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</row>
    <row r="679" customFormat="false" ht="11.25" hidden="false" customHeight="true" outlineLevel="0" collapsed="false">
      <c r="A679" s="89"/>
      <c r="B679" s="89"/>
      <c r="C679" s="89"/>
      <c r="D679" s="183"/>
      <c r="E679" s="152"/>
      <c r="F679" s="151"/>
      <c r="G679" s="151"/>
      <c r="H679" s="151"/>
      <c r="I679" s="151"/>
      <c r="J679" s="152"/>
      <c r="K679" s="152"/>
      <c r="L679" s="152"/>
      <c r="M679" s="152"/>
      <c r="N679" s="150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</row>
    <row r="680" customFormat="false" ht="11.25" hidden="false" customHeight="true" outlineLevel="0" collapsed="false">
      <c r="A680" s="89"/>
      <c r="B680" s="89"/>
      <c r="C680" s="89"/>
      <c r="D680" s="183"/>
      <c r="E680" s="152"/>
      <c r="F680" s="151"/>
      <c r="G680" s="151"/>
      <c r="H680" s="151"/>
      <c r="I680" s="151"/>
      <c r="J680" s="152"/>
      <c r="K680" s="152"/>
      <c r="L680" s="152"/>
      <c r="M680" s="152"/>
      <c r="N680" s="150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</row>
    <row r="681" customFormat="false" ht="11.25" hidden="false" customHeight="true" outlineLevel="0" collapsed="false">
      <c r="A681" s="89"/>
      <c r="B681" s="89"/>
      <c r="C681" s="89"/>
      <c r="D681" s="183"/>
      <c r="E681" s="152"/>
      <c r="F681" s="151"/>
      <c r="G681" s="151"/>
      <c r="H681" s="151"/>
      <c r="I681" s="151"/>
      <c r="J681" s="152"/>
      <c r="K681" s="152"/>
      <c r="L681" s="152"/>
      <c r="M681" s="152"/>
      <c r="N681" s="150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</row>
    <row r="682" customFormat="false" ht="11.25" hidden="false" customHeight="true" outlineLevel="0" collapsed="false">
      <c r="A682" s="89"/>
      <c r="B682" s="89"/>
      <c r="C682" s="89"/>
      <c r="D682" s="183"/>
      <c r="E682" s="152"/>
      <c r="F682" s="151"/>
      <c r="G682" s="151"/>
      <c r="H682" s="151"/>
      <c r="I682" s="151"/>
      <c r="J682" s="152"/>
      <c r="K682" s="152"/>
      <c r="L682" s="152"/>
      <c r="M682" s="152"/>
      <c r="N682" s="150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</row>
    <row r="683" customFormat="false" ht="11.25" hidden="false" customHeight="true" outlineLevel="0" collapsed="false">
      <c r="A683" s="89"/>
      <c r="B683" s="89"/>
      <c r="C683" s="89"/>
      <c r="D683" s="183"/>
      <c r="E683" s="152"/>
      <c r="F683" s="151"/>
      <c r="G683" s="151"/>
      <c r="H683" s="151"/>
      <c r="I683" s="151"/>
      <c r="J683" s="152"/>
      <c r="K683" s="152"/>
      <c r="L683" s="152"/>
      <c r="M683" s="152"/>
      <c r="N683" s="150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</row>
    <row r="684" customFormat="false" ht="11.25" hidden="false" customHeight="true" outlineLevel="0" collapsed="false">
      <c r="A684" s="89"/>
      <c r="B684" s="89"/>
      <c r="C684" s="89"/>
      <c r="D684" s="183"/>
      <c r="E684" s="152"/>
      <c r="F684" s="151"/>
      <c r="G684" s="151"/>
      <c r="H684" s="151"/>
      <c r="I684" s="151"/>
      <c r="J684" s="152"/>
      <c r="K684" s="152"/>
      <c r="L684" s="152"/>
      <c r="M684" s="152"/>
      <c r="N684" s="150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</row>
    <row r="685" customFormat="false" ht="11.25" hidden="false" customHeight="true" outlineLevel="0" collapsed="false">
      <c r="A685" s="89"/>
      <c r="B685" s="89"/>
      <c r="C685" s="89"/>
      <c r="D685" s="183"/>
      <c r="E685" s="152"/>
      <c r="F685" s="151"/>
      <c r="G685" s="151"/>
      <c r="H685" s="151"/>
      <c r="I685" s="151"/>
      <c r="J685" s="152"/>
      <c r="K685" s="152"/>
      <c r="L685" s="152"/>
      <c r="M685" s="152"/>
      <c r="N685" s="150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</row>
    <row r="686" customFormat="false" ht="11.25" hidden="false" customHeight="true" outlineLevel="0" collapsed="false">
      <c r="A686" s="89"/>
      <c r="B686" s="89"/>
      <c r="C686" s="89"/>
      <c r="D686" s="183"/>
      <c r="E686" s="152"/>
      <c r="F686" s="151"/>
      <c r="G686" s="151"/>
      <c r="H686" s="151"/>
      <c r="I686" s="151"/>
      <c r="J686" s="152"/>
      <c r="K686" s="152"/>
      <c r="L686" s="152"/>
      <c r="M686" s="152"/>
      <c r="N686" s="150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</row>
    <row r="687" customFormat="false" ht="11.25" hidden="false" customHeight="true" outlineLevel="0" collapsed="false">
      <c r="A687" s="89"/>
      <c r="B687" s="89"/>
      <c r="C687" s="89"/>
      <c r="D687" s="183"/>
      <c r="E687" s="152"/>
      <c r="F687" s="151"/>
      <c r="G687" s="151"/>
      <c r="H687" s="151"/>
      <c r="I687" s="151"/>
      <c r="J687" s="152"/>
      <c r="K687" s="152"/>
      <c r="L687" s="152"/>
      <c r="M687" s="152"/>
      <c r="N687" s="150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</row>
    <row r="688" customFormat="false" ht="11.25" hidden="false" customHeight="true" outlineLevel="0" collapsed="false">
      <c r="A688" s="89"/>
      <c r="B688" s="89"/>
      <c r="C688" s="89"/>
      <c r="D688" s="183"/>
      <c r="E688" s="152"/>
      <c r="F688" s="151"/>
      <c r="G688" s="151"/>
      <c r="H688" s="151"/>
      <c r="I688" s="151"/>
      <c r="J688" s="152"/>
      <c r="K688" s="152"/>
      <c r="L688" s="152"/>
      <c r="M688" s="152"/>
      <c r="N688" s="150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</row>
    <row r="689" customFormat="false" ht="11.25" hidden="false" customHeight="true" outlineLevel="0" collapsed="false">
      <c r="A689" s="89"/>
      <c r="B689" s="89"/>
      <c r="C689" s="89"/>
      <c r="D689" s="183"/>
      <c r="E689" s="152"/>
      <c r="F689" s="151"/>
      <c r="G689" s="151"/>
      <c r="H689" s="151"/>
      <c r="I689" s="151"/>
      <c r="J689" s="152"/>
      <c r="K689" s="152"/>
      <c r="L689" s="152"/>
      <c r="M689" s="152"/>
      <c r="N689" s="150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</row>
    <row r="690" customFormat="false" ht="11.25" hidden="false" customHeight="true" outlineLevel="0" collapsed="false">
      <c r="A690" s="89"/>
      <c r="B690" s="89"/>
      <c r="C690" s="89"/>
      <c r="D690" s="183"/>
      <c r="E690" s="152"/>
      <c r="F690" s="151"/>
      <c r="G690" s="151"/>
      <c r="H690" s="151"/>
      <c r="I690" s="151"/>
      <c r="J690" s="152"/>
      <c r="K690" s="152"/>
      <c r="L690" s="152"/>
      <c r="M690" s="152"/>
      <c r="N690" s="150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</row>
    <row r="691" customFormat="false" ht="11.25" hidden="false" customHeight="true" outlineLevel="0" collapsed="false">
      <c r="A691" s="89"/>
      <c r="B691" s="89"/>
      <c r="C691" s="89"/>
      <c r="D691" s="183"/>
      <c r="E691" s="152"/>
      <c r="F691" s="151"/>
      <c r="G691" s="151"/>
      <c r="H691" s="151"/>
      <c r="I691" s="151"/>
      <c r="J691" s="152"/>
      <c r="K691" s="152"/>
      <c r="L691" s="152"/>
      <c r="M691" s="152"/>
      <c r="N691" s="150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</row>
    <row r="692" customFormat="false" ht="11.25" hidden="false" customHeight="true" outlineLevel="0" collapsed="false">
      <c r="A692" s="89"/>
      <c r="B692" s="89"/>
      <c r="C692" s="89"/>
      <c r="D692" s="183"/>
      <c r="E692" s="152"/>
      <c r="F692" s="151"/>
      <c r="G692" s="151"/>
      <c r="H692" s="151"/>
      <c r="I692" s="151"/>
      <c r="J692" s="152"/>
      <c r="K692" s="152"/>
      <c r="L692" s="152"/>
      <c r="M692" s="152"/>
      <c r="N692" s="150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</row>
    <row r="693" customFormat="false" ht="11.25" hidden="false" customHeight="true" outlineLevel="0" collapsed="false">
      <c r="A693" s="89"/>
      <c r="B693" s="89"/>
      <c r="C693" s="89"/>
      <c r="D693" s="183"/>
      <c r="E693" s="152"/>
      <c r="F693" s="151"/>
      <c r="G693" s="151"/>
      <c r="H693" s="151"/>
      <c r="I693" s="151"/>
      <c r="J693" s="152"/>
      <c r="K693" s="152"/>
      <c r="L693" s="152"/>
      <c r="M693" s="152"/>
      <c r="N693" s="150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</row>
    <row r="694" customFormat="false" ht="11.25" hidden="false" customHeight="true" outlineLevel="0" collapsed="false">
      <c r="A694" s="89"/>
      <c r="B694" s="89"/>
      <c r="C694" s="89"/>
      <c r="D694" s="183"/>
      <c r="E694" s="152"/>
      <c r="F694" s="151"/>
      <c r="G694" s="151"/>
      <c r="H694" s="151"/>
      <c r="I694" s="151"/>
      <c r="J694" s="152"/>
      <c r="K694" s="152"/>
      <c r="L694" s="152"/>
      <c r="M694" s="152"/>
      <c r="N694" s="150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</row>
    <row r="695" customFormat="false" ht="11.25" hidden="false" customHeight="true" outlineLevel="0" collapsed="false">
      <c r="A695" s="89"/>
      <c r="B695" s="89"/>
      <c r="C695" s="89"/>
      <c r="D695" s="183"/>
      <c r="E695" s="152"/>
      <c r="F695" s="151"/>
      <c r="G695" s="151"/>
      <c r="H695" s="151"/>
      <c r="I695" s="151"/>
      <c r="J695" s="152"/>
      <c r="K695" s="152"/>
      <c r="L695" s="152"/>
      <c r="M695" s="152"/>
      <c r="N695" s="150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</row>
    <row r="696" customFormat="false" ht="11.25" hidden="false" customHeight="true" outlineLevel="0" collapsed="false">
      <c r="A696" s="89"/>
      <c r="B696" s="89"/>
      <c r="C696" s="89"/>
      <c r="D696" s="183"/>
      <c r="E696" s="152"/>
      <c r="F696" s="151"/>
      <c r="G696" s="151"/>
      <c r="H696" s="151"/>
      <c r="I696" s="151"/>
      <c r="J696" s="152"/>
      <c r="K696" s="152"/>
      <c r="L696" s="152"/>
      <c r="M696" s="152"/>
      <c r="N696" s="150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</row>
    <row r="697" customFormat="false" ht="11.25" hidden="false" customHeight="true" outlineLevel="0" collapsed="false">
      <c r="A697" s="89"/>
      <c r="B697" s="89"/>
      <c r="C697" s="89"/>
      <c r="D697" s="183"/>
      <c r="E697" s="152"/>
      <c r="F697" s="151"/>
      <c r="G697" s="151"/>
      <c r="H697" s="151"/>
      <c r="I697" s="151"/>
      <c r="J697" s="152"/>
      <c r="K697" s="152"/>
      <c r="L697" s="152"/>
      <c r="M697" s="152"/>
      <c r="N697" s="150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</row>
    <row r="698" customFormat="false" ht="11.25" hidden="false" customHeight="true" outlineLevel="0" collapsed="false">
      <c r="A698" s="89"/>
      <c r="B698" s="89"/>
      <c r="C698" s="89"/>
      <c r="D698" s="183"/>
      <c r="E698" s="152"/>
      <c r="F698" s="151"/>
      <c r="G698" s="151"/>
      <c r="H698" s="151"/>
      <c r="I698" s="151"/>
      <c r="J698" s="152"/>
      <c r="K698" s="152"/>
      <c r="L698" s="152"/>
      <c r="M698" s="152"/>
      <c r="N698" s="150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</row>
    <row r="699" customFormat="false" ht="11.25" hidden="false" customHeight="true" outlineLevel="0" collapsed="false">
      <c r="A699" s="89"/>
      <c r="B699" s="89"/>
      <c r="C699" s="89"/>
      <c r="D699" s="183"/>
      <c r="E699" s="152"/>
      <c r="F699" s="151"/>
      <c r="G699" s="151"/>
      <c r="H699" s="151"/>
      <c r="I699" s="151"/>
      <c r="J699" s="152"/>
      <c r="K699" s="152"/>
      <c r="L699" s="152"/>
      <c r="M699" s="152"/>
      <c r="N699" s="150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</row>
    <row r="700" customFormat="false" ht="11.25" hidden="false" customHeight="true" outlineLevel="0" collapsed="false">
      <c r="A700" s="89"/>
      <c r="B700" s="89"/>
      <c r="C700" s="89"/>
      <c r="D700" s="183"/>
      <c r="E700" s="152"/>
      <c r="F700" s="151"/>
      <c r="G700" s="151"/>
      <c r="H700" s="151"/>
      <c r="I700" s="151"/>
      <c r="J700" s="152"/>
      <c r="K700" s="152"/>
      <c r="L700" s="152"/>
      <c r="M700" s="152"/>
      <c r="N700" s="150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</row>
    <row r="701" customFormat="false" ht="11.25" hidden="false" customHeight="true" outlineLevel="0" collapsed="false">
      <c r="A701" s="89"/>
      <c r="B701" s="89"/>
      <c r="C701" s="89"/>
      <c r="D701" s="183"/>
      <c r="E701" s="152"/>
      <c r="F701" s="151"/>
      <c r="G701" s="151"/>
      <c r="H701" s="151"/>
      <c r="I701" s="151"/>
      <c r="J701" s="152"/>
      <c r="K701" s="152"/>
      <c r="L701" s="152"/>
      <c r="M701" s="152"/>
      <c r="N701" s="150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</row>
    <row r="702" customFormat="false" ht="11.25" hidden="false" customHeight="true" outlineLevel="0" collapsed="false">
      <c r="A702" s="89"/>
      <c r="B702" s="89"/>
      <c r="C702" s="89"/>
      <c r="D702" s="183"/>
      <c r="E702" s="152"/>
      <c r="F702" s="151"/>
      <c r="G702" s="151"/>
      <c r="H702" s="151"/>
      <c r="I702" s="151"/>
      <c r="J702" s="152"/>
      <c r="K702" s="152"/>
      <c r="L702" s="152"/>
      <c r="M702" s="152"/>
      <c r="N702" s="150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</row>
    <row r="703" customFormat="false" ht="11.25" hidden="false" customHeight="true" outlineLevel="0" collapsed="false">
      <c r="A703" s="89"/>
      <c r="B703" s="89"/>
      <c r="C703" s="89"/>
      <c r="D703" s="183"/>
      <c r="E703" s="152"/>
      <c r="F703" s="151"/>
      <c r="G703" s="151"/>
      <c r="H703" s="151"/>
      <c r="I703" s="151"/>
      <c r="J703" s="152"/>
      <c r="K703" s="152"/>
      <c r="L703" s="152"/>
      <c r="M703" s="152"/>
      <c r="N703" s="150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</row>
    <row r="704" customFormat="false" ht="11.25" hidden="false" customHeight="true" outlineLevel="0" collapsed="false">
      <c r="A704" s="89"/>
      <c r="B704" s="89"/>
      <c r="C704" s="89"/>
      <c r="D704" s="183"/>
      <c r="E704" s="152"/>
      <c r="F704" s="151"/>
      <c r="G704" s="151"/>
      <c r="H704" s="151"/>
      <c r="I704" s="151"/>
      <c r="J704" s="152"/>
      <c r="K704" s="152"/>
      <c r="L704" s="152"/>
      <c r="M704" s="152"/>
      <c r="N704" s="150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</row>
    <row r="705" customFormat="false" ht="11.25" hidden="false" customHeight="true" outlineLevel="0" collapsed="false">
      <c r="A705" s="89"/>
      <c r="B705" s="89"/>
      <c r="C705" s="89"/>
      <c r="D705" s="183"/>
      <c r="E705" s="152"/>
      <c r="F705" s="151"/>
      <c r="G705" s="151"/>
      <c r="H705" s="151"/>
      <c r="I705" s="151"/>
      <c r="J705" s="152"/>
      <c r="K705" s="152"/>
      <c r="L705" s="152"/>
      <c r="M705" s="152"/>
      <c r="N705" s="150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</row>
    <row r="706" customFormat="false" ht="11.25" hidden="false" customHeight="true" outlineLevel="0" collapsed="false">
      <c r="A706" s="89"/>
      <c r="B706" s="89"/>
      <c r="C706" s="89"/>
      <c r="D706" s="183"/>
      <c r="E706" s="152"/>
      <c r="F706" s="151"/>
      <c r="G706" s="151"/>
      <c r="H706" s="151"/>
      <c r="I706" s="151"/>
      <c r="J706" s="152"/>
      <c r="K706" s="152"/>
      <c r="L706" s="152"/>
      <c r="M706" s="152"/>
      <c r="N706" s="150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</row>
    <row r="707" customFormat="false" ht="11.25" hidden="false" customHeight="true" outlineLevel="0" collapsed="false">
      <c r="A707" s="89"/>
      <c r="B707" s="89"/>
      <c r="C707" s="89"/>
      <c r="D707" s="183"/>
      <c r="E707" s="152"/>
      <c r="F707" s="151"/>
      <c r="G707" s="151"/>
      <c r="H707" s="151"/>
      <c r="I707" s="151"/>
      <c r="J707" s="152"/>
      <c r="K707" s="152"/>
      <c r="L707" s="152"/>
      <c r="M707" s="152"/>
      <c r="N707" s="150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</row>
    <row r="708" customFormat="false" ht="11.25" hidden="false" customHeight="true" outlineLevel="0" collapsed="false">
      <c r="A708" s="89"/>
      <c r="B708" s="89"/>
      <c r="C708" s="89"/>
      <c r="D708" s="183"/>
      <c r="E708" s="152"/>
      <c r="F708" s="151"/>
      <c r="G708" s="151"/>
      <c r="H708" s="151"/>
      <c r="I708" s="151"/>
      <c r="J708" s="152"/>
      <c r="K708" s="152"/>
      <c r="L708" s="152"/>
      <c r="M708" s="152"/>
      <c r="N708" s="150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</row>
    <row r="709" customFormat="false" ht="11.25" hidden="false" customHeight="true" outlineLevel="0" collapsed="false">
      <c r="A709" s="89"/>
      <c r="B709" s="89"/>
      <c r="C709" s="89"/>
      <c r="D709" s="183"/>
      <c r="E709" s="152"/>
      <c r="F709" s="151"/>
      <c r="G709" s="151"/>
      <c r="H709" s="151"/>
      <c r="I709" s="151"/>
      <c r="J709" s="152"/>
      <c r="K709" s="152"/>
      <c r="L709" s="152"/>
      <c r="M709" s="152"/>
      <c r="N709" s="150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</row>
    <row r="710" customFormat="false" ht="11.25" hidden="false" customHeight="true" outlineLevel="0" collapsed="false">
      <c r="A710" s="89"/>
      <c r="B710" s="89"/>
      <c r="C710" s="89"/>
      <c r="D710" s="183"/>
      <c r="E710" s="152"/>
      <c r="F710" s="151"/>
      <c r="G710" s="151"/>
      <c r="H710" s="151"/>
      <c r="I710" s="151"/>
      <c r="J710" s="152"/>
      <c r="K710" s="152"/>
      <c r="L710" s="152"/>
      <c r="M710" s="152"/>
      <c r="N710" s="150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</row>
    <row r="711" customFormat="false" ht="11.25" hidden="false" customHeight="true" outlineLevel="0" collapsed="false">
      <c r="A711" s="89"/>
      <c r="B711" s="89"/>
      <c r="C711" s="89"/>
      <c r="D711" s="183"/>
      <c r="E711" s="152"/>
      <c r="F711" s="151"/>
      <c r="G711" s="151"/>
      <c r="H711" s="151"/>
      <c r="I711" s="151"/>
      <c r="J711" s="152"/>
      <c r="K711" s="152"/>
      <c r="L711" s="152"/>
      <c r="M711" s="152"/>
      <c r="N711" s="150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</row>
    <row r="712" customFormat="false" ht="11.25" hidden="false" customHeight="true" outlineLevel="0" collapsed="false">
      <c r="A712" s="89"/>
      <c r="B712" s="89"/>
      <c r="C712" s="89"/>
      <c r="D712" s="183"/>
      <c r="E712" s="152"/>
      <c r="F712" s="151"/>
      <c r="G712" s="151"/>
      <c r="H712" s="151"/>
      <c r="I712" s="151"/>
      <c r="J712" s="152"/>
      <c r="K712" s="152"/>
      <c r="L712" s="152"/>
      <c r="M712" s="152"/>
      <c r="N712" s="150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</row>
    <row r="713" customFormat="false" ht="11.25" hidden="false" customHeight="true" outlineLevel="0" collapsed="false">
      <c r="A713" s="89"/>
      <c r="B713" s="89"/>
      <c r="C713" s="89"/>
      <c r="D713" s="183"/>
      <c r="E713" s="152"/>
      <c r="F713" s="151"/>
      <c r="G713" s="151"/>
      <c r="H713" s="151"/>
      <c r="I713" s="151"/>
      <c r="J713" s="152"/>
      <c r="K713" s="152"/>
      <c r="L713" s="152"/>
      <c r="M713" s="152"/>
      <c r="N713" s="150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</row>
    <row r="714" customFormat="false" ht="11.25" hidden="false" customHeight="true" outlineLevel="0" collapsed="false">
      <c r="A714" s="89"/>
      <c r="B714" s="89"/>
      <c r="C714" s="89"/>
      <c r="D714" s="183"/>
      <c r="E714" s="152"/>
      <c r="F714" s="151"/>
      <c r="G714" s="151"/>
      <c r="H714" s="151"/>
      <c r="I714" s="151"/>
      <c r="J714" s="152"/>
      <c r="K714" s="152"/>
      <c r="L714" s="152"/>
      <c r="M714" s="152"/>
      <c r="N714" s="150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</row>
    <row r="715" customFormat="false" ht="11.25" hidden="false" customHeight="true" outlineLevel="0" collapsed="false">
      <c r="A715" s="89"/>
      <c r="B715" s="89"/>
      <c r="C715" s="89"/>
      <c r="D715" s="183"/>
      <c r="E715" s="152"/>
      <c r="F715" s="151"/>
      <c r="G715" s="151"/>
      <c r="H715" s="151"/>
      <c r="I715" s="151"/>
      <c r="J715" s="152"/>
      <c r="K715" s="152"/>
      <c r="L715" s="152"/>
      <c r="M715" s="152"/>
      <c r="N715" s="150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</row>
    <row r="716" customFormat="false" ht="11.25" hidden="false" customHeight="true" outlineLevel="0" collapsed="false">
      <c r="A716" s="89"/>
      <c r="B716" s="89"/>
      <c r="C716" s="89"/>
      <c r="D716" s="183"/>
      <c r="E716" s="152"/>
      <c r="F716" s="151"/>
      <c r="G716" s="151"/>
      <c r="H716" s="151"/>
      <c r="I716" s="151"/>
      <c r="J716" s="152"/>
      <c r="K716" s="152"/>
      <c r="L716" s="152"/>
      <c r="M716" s="152"/>
      <c r="N716" s="150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</row>
    <row r="717" customFormat="false" ht="11.25" hidden="false" customHeight="true" outlineLevel="0" collapsed="false">
      <c r="A717" s="89"/>
      <c r="B717" s="89"/>
      <c r="C717" s="89"/>
      <c r="D717" s="183"/>
      <c r="E717" s="152"/>
      <c r="F717" s="151"/>
      <c r="G717" s="151"/>
      <c r="H717" s="151"/>
      <c r="I717" s="151"/>
      <c r="J717" s="152"/>
      <c r="K717" s="152"/>
      <c r="L717" s="152"/>
      <c r="M717" s="152"/>
      <c r="N717" s="150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</row>
    <row r="718" customFormat="false" ht="11.25" hidden="false" customHeight="true" outlineLevel="0" collapsed="false">
      <c r="A718" s="89"/>
      <c r="B718" s="89"/>
      <c r="C718" s="89"/>
      <c r="D718" s="183"/>
      <c r="E718" s="152"/>
      <c r="F718" s="151"/>
      <c r="G718" s="151"/>
      <c r="H718" s="151"/>
      <c r="I718" s="151"/>
      <c r="J718" s="152"/>
      <c r="K718" s="152"/>
      <c r="L718" s="152"/>
      <c r="M718" s="152"/>
      <c r="N718" s="150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</row>
    <row r="719" customFormat="false" ht="11.25" hidden="false" customHeight="true" outlineLevel="0" collapsed="false">
      <c r="A719" s="89"/>
      <c r="B719" s="89"/>
      <c r="C719" s="89"/>
      <c r="D719" s="183"/>
      <c r="E719" s="152"/>
      <c r="F719" s="151"/>
      <c r="G719" s="151"/>
      <c r="H719" s="151"/>
      <c r="I719" s="151"/>
      <c r="J719" s="152"/>
      <c r="K719" s="152"/>
      <c r="L719" s="152"/>
      <c r="M719" s="152"/>
      <c r="N719" s="150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</row>
    <row r="720" customFormat="false" ht="11.25" hidden="false" customHeight="true" outlineLevel="0" collapsed="false">
      <c r="A720" s="89"/>
      <c r="B720" s="89"/>
      <c r="C720" s="89"/>
      <c r="D720" s="183"/>
      <c r="E720" s="152"/>
      <c r="F720" s="151"/>
      <c r="G720" s="151"/>
      <c r="H720" s="151"/>
      <c r="I720" s="151"/>
      <c r="J720" s="152"/>
      <c r="K720" s="152"/>
      <c r="L720" s="152"/>
      <c r="M720" s="152"/>
      <c r="N720" s="150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</row>
    <row r="721" customFormat="false" ht="11.25" hidden="false" customHeight="true" outlineLevel="0" collapsed="false">
      <c r="A721" s="89"/>
      <c r="B721" s="89"/>
      <c r="C721" s="89"/>
      <c r="D721" s="183"/>
      <c r="E721" s="152"/>
      <c r="F721" s="151"/>
      <c r="G721" s="151"/>
      <c r="H721" s="151"/>
      <c r="I721" s="151"/>
      <c r="J721" s="152"/>
      <c r="K721" s="152"/>
      <c r="L721" s="152"/>
      <c r="M721" s="152"/>
      <c r="N721" s="150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</row>
    <row r="722" customFormat="false" ht="11.25" hidden="false" customHeight="true" outlineLevel="0" collapsed="false">
      <c r="A722" s="89"/>
      <c r="B722" s="89"/>
      <c r="C722" s="89"/>
      <c r="D722" s="183"/>
      <c r="E722" s="152"/>
      <c r="F722" s="151"/>
      <c r="G722" s="151"/>
      <c r="H722" s="151"/>
      <c r="I722" s="151"/>
      <c r="J722" s="152"/>
      <c r="K722" s="152"/>
      <c r="L722" s="152"/>
      <c r="M722" s="152"/>
      <c r="N722" s="150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</row>
    <row r="723" customFormat="false" ht="11.25" hidden="false" customHeight="true" outlineLevel="0" collapsed="false">
      <c r="A723" s="89"/>
      <c r="B723" s="89"/>
      <c r="C723" s="89"/>
      <c r="D723" s="183"/>
      <c r="E723" s="152"/>
      <c r="F723" s="151"/>
      <c r="G723" s="151"/>
      <c r="H723" s="151"/>
      <c r="I723" s="151"/>
      <c r="J723" s="152"/>
      <c r="K723" s="152"/>
      <c r="L723" s="152"/>
      <c r="M723" s="152"/>
      <c r="N723" s="150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</row>
    <row r="724" customFormat="false" ht="11.25" hidden="false" customHeight="true" outlineLevel="0" collapsed="false">
      <c r="A724" s="89"/>
      <c r="B724" s="89"/>
      <c r="C724" s="89"/>
      <c r="D724" s="183"/>
      <c r="E724" s="152"/>
      <c r="F724" s="151"/>
      <c r="G724" s="151"/>
      <c r="H724" s="151"/>
      <c r="I724" s="151"/>
      <c r="J724" s="152"/>
      <c r="K724" s="152"/>
      <c r="L724" s="152"/>
      <c r="M724" s="152"/>
      <c r="N724" s="150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</row>
    <row r="725" customFormat="false" ht="11.25" hidden="false" customHeight="true" outlineLevel="0" collapsed="false">
      <c r="A725" s="89"/>
      <c r="B725" s="89"/>
      <c r="C725" s="89"/>
      <c r="D725" s="183"/>
      <c r="E725" s="152"/>
      <c r="F725" s="151"/>
      <c r="G725" s="151"/>
      <c r="H725" s="151"/>
      <c r="I725" s="151"/>
      <c r="J725" s="152"/>
      <c r="K725" s="152"/>
      <c r="L725" s="152"/>
      <c r="M725" s="152"/>
      <c r="N725" s="150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</row>
    <row r="726" customFormat="false" ht="11.25" hidden="false" customHeight="true" outlineLevel="0" collapsed="false">
      <c r="A726" s="89"/>
      <c r="B726" s="89"/>
      <c r="C726" s="89"/>
      <c r="D726" s="183"/>
      <c r="E726" s="152"/>
      <c r="F726" s="151"/>
      <c r="G726" s="151"/>
      <c r="H726" s="151"/>
      <c r="I726" s="151"/>
      <c r="J726" s="152"/>
      <c r="K726" s="152"/>
      <c r="L726" s="152"/>
      <c r="M726" s="152"/>
      <c r="N726" s="150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</row>
    <row r="727" customFormat="false" ht="11.25" hidden="false" customHeight="true" outlineLevel="0" collapsed="false">
      <c r="A727" s="89"/>
      <c r="B727" s="89"/>
      <c r="C727" s="89"/>
      <c r="D727" s="183"/>
      <c r="E727" s="152"/>
      <c r="F727" s="151"/>
      <c r="G727" s="151"/>
      <c r="H727" s="151"/>
      <c r="I727" s="151"/>
      <c r="J727" s="152"/>
      <c r="K727" s="152"/>
      <c r="L727" s="152"/>
      <c r="M727" s="152"/>
      <c r="N727" s="150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</row>
    <row r="728" customFormat="false" ht="11.25" hidden="false" customHeight="true" outlineLevel="0" collapsed="false">
      <c r="A728" s="89"/>
      <c r="B728" s="89"/>
      <c r="C728" s="89"/>
      <c r="D728" s="183"/>
      <c r="E728" s="152"/>
      <c r="F728" s="151"/>
      <c r="G728" s="151"/>
      <c r="H728" s="151"/>
      <c r="I728" s="151"/>
      <c r="J728" s="152"/>
      <c r="K728" s="152"/>
      <c r="L728" s="152"/>
      <c r="M728" s="152"/>
      <c r="N728" s="150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</row>
    <row r="729" customFormat="false" ht="11.25" hidden="false" customHeight="true" outlineLevel="0" collapsed="false">
      <c r="A729" s="89"/>
      <c r="B729" s="89"/>
      <c r="C729" s="89"/>
      <c r="D729" s="183"/>
      <c r="E729" s="152"/>
      <c r="F729" s="151"/>
      <c r="G729" s="151"/>
      <c r="H729" s="151"/>
      <c r="I729" s="151"/>
      <c r="J729" s="152"/>
      <c r="K729" s="152"/>
      <c r="L729" s="152"/>
      <c r="M729" s="152"/>
      <c r="N729" s="150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</row>
    <row r="730" customFormat="false" ht="11.25" hidden="false" customHeight="true" outlineLevel="0" collapsed="false">
      <c r="A730" s="89"/>
      <c r="B730" s="89"/>
      <c r="C730" s="89"/>
      <c r="D730" s="183"/>
      <c r="E730" s="152"/>
      <c r="F730" s="151"/>
      <c r="G730" s="151"/>
      <c r="H730" s="151"/>
      <c r="I730" s="151"/>
      <c r="J730" s="152"/>
      <c r="K730" s="152"/>
      <c r="L730" s="152"/>
      <c r="M730" s="152"/>
      <c r="N730" s="150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</row>
    <row r="731" customFormat="false" ht="11.25" hidden="false" customHeight="true" outlineLevel="0" collapsed="false">
      <c r="A731" s="89"/>
      <c r="B731" s="89"/>
      <c r="C731" s="89"/>
      <c r="D731" s="183"/>
      <c r="E731" s="152"/>
      <c r="F731" s="151"/>
      <c r="G731" s="151"/>
      <c r="H731" s="151"/>
      <c r="I731" s="151"/>
      <c r="J731" s="152"/>
      <c r="K731" s="152"/>
      <c r="L731" s="152"/>
      <c r="M731" s="152"/>
      <c r="N731" s="150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</row>
    <row r="732" customFormat="false" ht="11.25" hidden="false" customHeight="true" outlineLevel="0" collapsed="false">
      <c r="A732" s="89"/>
      <c r="B732" s="89"/>
      <c r="C732" s="89"/>
      <c r="D732" s="183"/>
      <c r="E732" s="152"/>
      <c r="F732" s="151"/>
      <c r="G732" s="151"/>
      <c r="H732" s="151"/>
      <c r="I732" s="151"/>
      <c r="J732" s="152"/>
      <c r="K732" s="152"/>
      <c r="L732" s="152"/>
      <c r="M732" s="152"/>
      <c r="N732" s="150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</row>
    <row r="733" customFormat="false" ht="11.25" hidden="false" customHeight="true" outlineLevel="0" collapsed="false">
      <c r="A733" s="89"/>
      <c r="B733" s="89"/>
      <c r="C733" s="89"/>
      <c r="D733" s="183"/>
      <c r="E733" s="152"/>
      <c r="F733" s="151"/>
      <c r="G733" s="151"/>
      <c r="H733" s="151"/>
      <c r="I733" s="151"/>
      <c r="J733" s="152"/>
      <c r="K733" s="152"/>
      <c r="L733" s="152"/>
      <c r="M733" s="152"/>
      <c r="N733" s="150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</row>
    <row r="734" customFormat="false" ht="11.25" hidden="false" customHeight="true" outlineLevel="0" collapsed="false">
      <c r="A734" s="89"/>
      <c r="B734" s="89"/>
      <c r="C734" s="89"/>
      <c r="D734" s="183"/>
      <c r="E734" s="152"/>
      <c r="F734" s="151"/>
      <c r="G734" s="151"/>
      <c r="H734" s="151"/>
      <c r="I734" s="151"/>
      <c r="J734" s="152"/>
      <c r="K734" s="152"/>
      <c r="L734" s="152"/>
      <c r="M734" s="152"/>
      <c r="N734" s="150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</row>
    <row r="735" customFormat="false" ht="11.25" hidden="false" customHeight="true" outlineLevel="0" collapsed="false">
      <c r="A735" s="89"/>
      <c r="B735" s="89"/>
      <c r="C735" s="89"/>
      <c r="D735" s="183"/>
      <c r="E735" s="152"/>
      <c r="F735" s="151"/>
      <c r="G735" s="151"/>
      <c r="H735" s="151"/>
      <c r="I735" s="151"/>
      <c r="J735" s="152"/>
      <c r="K735" s="152"/>
      <c r="L735" s="152"/>
      <c r="M735" s="152"/>
      <c r="N735" s="150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</row>
    <row r="736" customFormat="false" ht="11.25" hidden="false" customHeight="true" outlineLevel="0" collapsed="false">
      <c r="A736" s="89"/>
      <c r="B736" s="89"/>
      <c r="C736" s="89"/>
      <c r="D736" s="183"/>
      <c r="E736" s="152"/>
      <c r="F736" s="151"/>
      <c r="G736" s="151"/>
      <c r="H736" s="151"/>
      <c r="I736" s="151"/>
      <c r="J736" s="152"/>
      <c r="K736" s="152"/>
      <c r="L736" s="152"/>
      <c r="M736" s="152"/>
      <c r="N736" s="150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</row>
    <row r="737" customFormat="false" ht="11.25" hidden="false" customHeight="true" outlineLevel="0" collapsed="false">
      <c r="A737" s="89"/>
      <c r="B737" s="89"/>
      <c r="C737" s="89"/>
      <c r="D737" s="183"/>
      <c r="E737" s="152"/>
      <c r="F737" s="151"/>
      <c r="G737" s="151"/>
      <c r="H737" s="151"/>
      <c r="I737" s="151"/>
      <c r="J737" s="152"/>
      <c r="K737" s="152"/>
      <c r="L737" s="152"/>
      <c r="M737" s="152"/>
      <c r="N737" s="150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</row>
    <row r="738" customFormat="false" ht="11.25" hidden="false" customHeight="true" outlineLevel="0" collapsed="false">
      <c r="A738" s="89"/>
      <c r="B738" s="89"/>
      <c r="C738" s="89"/>
      <c r="D738" s="183"/>
      <c r="E738" s="152"/>
      <c r="F738" s="151"/>
      <c r="G738" s="151"/>
      <c r="H738" s="151"/>
      <c r="I738" s="151"/>
      <c r="J738" s="152"/>
      <c r="K738" s="152"/>
      <c r="L738" s="152"/>
      <c r="M738" s="152"/>
      <c r="N738" s="150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</row>
    <row r="739" customFormat="false" ht="11.25" hidden="false" customHeight="true" outlineLevel="0" collapsed="false">
      <c r="A739" s="89"/>
      <c r="B739" s="89"/>
      <c r="C739" s="89"/>
      <c r="D739" s="183"/>
      <c r="E739" s="152"/>
      <c r="F739" s="151"/>
      <c r="G739" s="151"/>
      <c r="H739" s="151"/>
      <c r="I739" s="151"/>
      <c r="J739" s="152"/>
      <c r="K739" s="152"/>
      <c r="L739" s="152"/>
      <c r="M739" s="152"/>
      <c r="N739" s="150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</row>
    <row r="740" customFormat="false" ht="11.25" hidden="false" customHeight="true" outlineLevel="0" collapsed="false">
      <c r="A740" s="89"/>
      <c r="B740" s="89"/>
      <c r="C740" s="89"/>
      <c r="D740" s="183"/>
      <c r="E740" s="152"/>
      <c r="F740" s="151"/>
      <c r="G740" s="151"/>
      <c r="H740" s="151"/>
      <c r="I740" s="151"/>
      <c r="J740" s="152"/>
      <c r="K740" s="152"/>
      <c r="L740" s="152"/>
      <c r="M740" s="152"/>
      <c r="N740" s="150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</row>
    <row r="741" customFormat="false" ht="11.25" hidden="false" customHeight="true" outlineLevel="0" collapsed="false">
      <c r="A741" s="89"/>
      <c r="B741" s="89"/>
      <c r="C741" s="89"/>
      <c r="D741" s="183"/>
      <c r="E741" s="152"/>
      <c r="F741" s="151"/>
      <c r="G741" s="151"/>
      <c r="H741" s="151"/>
      <c r="I741" s="151"/>
      <c r="J741" s="152"/>
      <c r="K741" s="152"/>
      <c r="L741" s="152"/>
      <c r="M741" s="152"/>
      <c r="N741" s="150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</row>
    <row r="742" customFormat="false" ht="11.25" hidden="false" customHeight="true" outlineLevel="0" collapsed="false">
      <c r="A742" s="89"/>
      <c r="B742" s="89"/>
      <c r="C742" s="89"/>
      <c r="D742" s="183"/>
      <c r="E742" s="152"/>
      <c r="F742" s="151"/>
      <c r="G742" s="151"/>
      <c r="H742" s="151"/>
      <c r="I742" s="151"/>
      <c r="J742" s="152"/>
      <c r="K742" s="152"/>
      <c r="L742" s="152"/>
      <c r="M742" s="152"/>
      <c r="N742" s="150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</row>
    <row r="743" customFormat="false" ht="11.25" hidden="false" customHeight="true" outlineLevel="0" collapsed="false">
      <c r="A743" s="89"/>
      <c r="B743" s="89"/>
      <c r="C743" s="89"/>
      <c r="D743" s="183"/>
      <c r="E743" s="152"/>
      <c r="F743" s="151"/>
      <c r="G743" s="151"/>
      <c r="H743" s="151"/>
      <c r="I743" s="151"/>
      <c r="J743" s="152"/>
      <c r="K743" s="152"/>
      <c r="L743" s="152"/>
      <c r="M743" s="152"/>
      <c r="N743" s="150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</row>
    <row r="744" customFormat="false" ht="11.25" hidden="false" customHeight="true" outlineLevel="0" collapsed="false">
      <c r="A744" s="89"/>
      <c r="B744" s="89"/>
      <c r="C744" s="89"/>
      <c r="D744" s="183"/>
      <c r="E744" s="152"/>
      <c r="F744" s="151"/>
      <c r="G744" s="151"/>
      <c r="H744" s="151"/>
      <c r="I744" s="151"/>
      <c r="J744" s="152"/>
      <c r="K744" s="152"/>
      <c r="L744" s="152"/>
      <c r="M744" s="152"/>
      <c r="N744" s="150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</row>
    <row r="745" customFormat="false" ht="11.25" hidden="false" customHeight="true" outlineLevel="0" collapsed="false">
      <c r="A745" s="89"/>
      <c r="B745" s="89"/>
      <c r="C745" s="89"/>
      <c r="D745" s="183"/>
      <c r="E745" s="152"/>
      <c r="F745" s="151"/>
      <c r="G745" s="151"/>
      <c r="H745" s="151"/>
      <c r="I745" s="151"/>
      <c r="J745" s="152"/>
      <c r="K745" s="152"/>
      <c r="L745" s="152"/>
      <c r="M745" s="152"/>
      <c r="N745" s="150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</row>
    <row r="746" customFormat="false" ht="11.25" hidden="false" customHeight="true" outlineLevel="0" collapsed="false">
      <c r="A746" s="89"/>
      <c r="B746" s="89"/>
      <c r="C746" s="89"/>
      <c r="D746" s="183"/>
      <c r="E746" s="152"/>
      <c r="F746" s="151"/>
      <c r="G746" s="151"/>
      <c r="H746" s="151"/>
      <c r="I746" s="151"/>
      <c r="J746" s="152"/>
      <c r="K746" s="152"/>
      <c r="L746" s="152"/>
      <c r="M746" s="152"/>
      <c r="N746" s="150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</row>
    <row r="747" customFormat="false" ht="11.25" hidden="false" customHeight="true" outlineLevel="0" collapsed="false">
      <c r="A747" s="89"/>
      <c r="B747" s="89"/>
      <c r="C747" s="89"/>
      <c r="D747" s="183"/>
      <c r="E747" s="152"/>
      <c r="F747" s="151"/>
      <c r="G747" s="151"/>
      <c r="H747" s="151"/>
      <c r="I747" s="151"/>
      <c r="J747" s="152"/>
      <c r="K747" s="152"/>
      <c r="L747" s="152"/>
      <c r="M747" s="152"/>
      <c r="N747" s="150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</row>
    <row r="748" customFormat="false" ht="11.25" hidden="false" customHeight="true" outlineLevel="0" collapsed="false">
      <c r="A748" s="89"/>
      <c r="B748" s="89"/>
      <c r="C748" s="89"/>
      <c r="D748" s="183"/>
      <c r="E748" s="152"/>
      <c r="F748" s="151"/>
      <c r="G748" s="151"/>
      <c r="H748" s="151"/>
      <c r="I748" s="151"/>
      <c r="J748" s="152"/>
      <c r="K748" s="152"/>
      <c r="L748" s="152"/>
      <c r="M748" s="152"/>
      <c r="N748" s="150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</row>
    <row r="749" customFormat="false" ht="11.25" hidden="false" customHeight="true" outlineLevel="0" collapsed="false">
      <c r="A749" s="89"/>
      <c r="B749" s="89"/>
      <c r="C749" s="89"/>
      <c r="D749" s="183"/>
      <c r="E749" s="152"/>
      <c r="F749" s="151"/>
      <c r="G749" s="151"/>
      <c r="H749" s="151"/>
      <c r="I749" s="151"/>
      <c r="J749" s="152"/>
      <c r="K749" s="152"/>
      <c r="L749" s="152"/>
      <c r="M749" s="152"/>
      <c r="N749" s="150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</row>
    <row r="750" customFormat="false" ht="11.25" hidden="false" customHeight="true" outlineLevel="0" collapsed="false">
      <c r="A750" s="89"/>
      <c r="B750" s="89"/>
      <c r="C750" s="89"/>
      <c r="D750" s="183"/>
      <c r="E750" s="152"/>
      <c r="F750" s="151"/>
      <c r="G750" s="151"/>
      <c r="H750" s="151"/>
      <c r="I750" s="151"/>
      <c r="J750" s="152"/>
      <c r="K750" s="152"/>
      <c r="L750" s="152"/>
      <c r="M750" s="152"/>
      <c r="N750" s="150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</row>
    <row r="751" customFormat="false" ht="11.25" hidden="false" customHeight="true" outlineLevel="0" collapsed="false">
      <c r="A751" s="89"/>
      <c r="B751" s="89"/>
      <c r="C751" s="89"/>
      <c r="D751" s="183"/>
      <c r="E751" s="152"/>
      <c r="F751" s="151"/>
      <c r="G751" s="151"/>
      <c r="H751" s="151"/>
      <c r="I751" s="151"/>
      <c r="J751" s="152"/>
      <c r="K751" s="152"/>
      <c r="L751" s="152"/>
      <c r="M751" s="152"/>
      <c r="N751" s="150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</row>
    <row r="752" customFormat="false" ht="11.25" hidden="false" customHeight="true" outlineLevel="0" collapsed="false">
      <c r="A752" s="89"/>
      <c r="B752" s="89"/>
      <c r="C752" s="89"/>
      <c r="D752" s="183"/>
      <c r="E752" s="152"/>
      <c r="F752" s="151"/>
      <c r="G752" s="151"/>
      <c r="H752" s="151"/>
      <c r="I752" s="151"/>
      <c r="J752" s="152"/>
      <c r="K752" s="152"/>
      <c r="L752" s="152"/>
      <c r="M752" s="152"/>
      <c r="N752" s="150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</row>
    <row r="753" customFormat="false" ht="11.25" hidden="false" customHeight="true" outlineLevel="0" collapsed="false">
      <c r="A753" s="89"/>
      <c r="B753" s="89"/>
      <c r="C753" s="89"/>
      <c r="D753" s="183"/>
      <c r="E753" s="152"/>
      <c r="F753" s="151"/>
      <c r="G753" s="151"/>
      <c r="H753" s="151"/>
      <c r="I753" s="151"/>
      <c r="J753" s="152"/>
      <c r="K753" s="152"/>
      <c r="L753" s="152"/>
      <c r="M753" s="152"/>
      <c r="N753" s="150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</row>
    <row r="754" customFormat="false" ht="11.25" hidden="false" customHeight="true" outlineLevel="0" collapsed="false">
      <c r="A754" s="89"/>
      <c r="B754" s="89"/>
      <c r="C754" s="89"/>
      <c r="D754" s="183"/>
      <c r="E754" s="152"/>
      <c r="F754" s="151"/>
      <c r="G754" s="151"/>
      <c r="H754" s="151"/>
      <c r="I754" s="151"/>
      <c r="J754" s="152"/>
      <c r="K754" s="152"/>
      <c r="L754" s="152"/>
      <c r="M754" s="152"/>
      <c r="N754" s="150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</row>
    <row r="755" customFormat="false" ht="11.25" hidden="false" customHeight="true" outlineLevel="0" collapsed="false">
      <c r="A755" s="89"/>
      <c r="B755" s="89"/>
      <c r="C755" s="89"/>
      <c r="D755" s="183"/>
      <c r="E755" s="152"/>
      <c r="F755" s="151"/>
      <c r="G755" s="151"/>
      <c r="H755" s="151"/>
      <c r="I755" s="151"/>
      <c r="J755" s="152"/>
      <c r="K755" s="152"/>
      <c r="L755" s="152"/>
      <c r="M755" s="152"/>
      <c r="N755" s="150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</row>
    <row r="756" customFormat="false" ht="11.25" hidden="false" customHeight="true" outlineLevel="0" collapsed="false">
      <c r="A756" s="89"/>
      <c r="B756" s="89"/>
      <c r="C756" s="89"/>
      <c r="D756" s="183"/>
      <c r="E756" s="152"/>
      <c r="F756" s="151"/>
      <c r="G756" s="151"/>
      <c r="H756" s="151"/>
      <c r="I756" s="151"/>
      <c r="J756" s="152"/>
      <c r="K756" s="152"/>
      <c r="L756" s="152"/>
      <c r="M756" s="152"/>
      <c r="N756" s="150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</row>
    <row r="757" customFormat="false" ht="11.25" hidden="false" customHeight="true" outlineLevel="0" collapsed="false">
      <c r="A757" s="89"/>
      <c r="B757" s="89"/>
      <c r="C757" s="89"/>
      <c r="D757" s="183"/>
      <c r="E757" s="152"/>
      <c r="F757" s="151"/>
      <c r="G757" s="151"/>
      <c r="H757" s="151"/>
      <c r="I757" s="151"/>
      <c r="J757" s="152"/>
      <c r="K757" s="152"/>
      <c r="L757" s="152"/>
      <c r="M757" s="152"/>
      <c r="N757" s="150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</row>
    <row r="758" customFormat="false" ht="11.25" hidden="false" customHeight="true" outlineLevel="0" collapsed="false">
      <c r="A758" s="89"/>
      <c r="B758" s="89"/>
      <c r="C758" s="89"/>
      <c r="D758" s="183"/>
      <c r="E758" s="152"/>
      <c r="F758" s="151"/>
      <c r="G758" s="151"/>
      <c r="H758" s="151"/>
      <c r="I758" s="151"/>
      <c r="J758" s="152"/>
      <c r="K758" s="152"/>
      <c r="L758" s="152"/>
      <c r="M758" s="152"/>
      <c r="N758" s="150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</row>
    <row r="759" customFormat="false" ht="11.25" hidden="false" customHeight="true" outlineLevel="0" collapsed="false">
      <c r="A759" s="89"/>
      <c r="B759" s="89"/>
      <c r="C759" s="89"/>
      <c r="D759" s="183"/>
      <c r="E759" s="152"/>
      <c r="F759" s="151"/>
      <c r="G759" s="151"/>
      <c r="H759" s="151"/>
      <c r="I759" s="151"/>
      <c r="J759" s="152"/>
      <c r="K759" s="152"/>
      <c r="L759" s="152"/>
      <c r="M759" s="152"/>
      <c r="N759" s="150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</row>
    <row r="760" customFormat="false" ht="11.25" hidden="false" customHeight="true" outlineLevel="0" collapsed="false">
      <c r="A760" s="89"/>
      <c r="B760" s="89"/>
      <c r="C760" s="89"/>
      <c r="D760" s="183"/>
      <c r="E760" s="152"/>
      <c r="F760" s="151"/>
      <c r="G760" s="151"/>
      <c r="H760" s="151"/>
      <c r="I760" s="151"/>
      <c r="J760" s="152"/>
      <c r="K760" s="152"/>
      <c r="L760" s="152"/>
      <c r="M760" s="152"/>
      <c r="N760" s="150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</row>
    <row r="761" customFormat="false" ht="11.25" hidden="false" customHeight="true" outlineLevel="0" collapsed="false">
      <c r="A761" s="89"/>
      <c r="B761" s="89"/>
      <c r="C761" s="89"/>
      <c r="D761" s="183"/>
      <c r="E761" s="152"/>
      <c r="F761" s="151"/>
      <c r="G761" s="151"/>
      <c r="H761" s="151"/>
      <c r="I761" s="151"/>
      <c r="J761" s="152"/>
      <c r="K761" s="152"/>
      <c r="L761" s="152"/>
      <c r="M761" s="152"/>
      <c r="N761" s="150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</row>
    <row r="762" customFormat="false" ht="11.25" hidden="false" customHeight="true" outlineLevel="0" collapsed="false">
      <c r="A762" s="89"/>
      <c r="B762" s="89"/>
      <c r="C762" s="89"/>
      <c r="D762" s="183"/>
      <c r="E762" s="152"/>
      <c r="F762" s="151"/>
      <c r="G762" s="151"/>
      <c r="H762" s="151"/>
      <c r="I762" s="151"/>
      <c r="J762" s="152"/>
      <c r="K762" s="152"/>
      <c r="L762" s="152"/>
      <c r="M762" s="152"/>
      <c r="N762" s="150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</row>
    <row r="763" customFormat="false" ht="11.25" hidden="false" customHeight="true" outlineLevel="0" collapsed="false">
      <c r="A763" s="89"/>
      <c r="B763" s="89"/>
      <c r="C763" s="89"/>
      <c r="D763" s="183"/>
      <c r="E763" s="152"/>
      <c r="F763" s="151"/>
      <c r="G763" s="151"/>
      <c r="H763" s="151"/>
      <c r="I763" s="151"/>
      <c r="J763" s="152"/>
      <c r="K763" s="152"/>
      <c r="L763" s="152"/>
      <c r="M763" s="152"/>
      <c r="N763" s="150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</row>
    <row r="764" customFormat="false" ht="11.25" hidden="false" customHeight="true" outlineLevel="0" collapsed="false">
      <c r="A764" s="89"/>
      <c r="B764" s="89"/>
      <c r="C764" s="89"/>
      <c r="D764" s="183"/>
      <c r="E764" s="152"/>
      <c r="F764" s="151"/>
      <c r="G764" s="151"/>
      <c r="H764" s="151"/>
      <c r="I764" s="151"/>
      <c r="J764" s="152"/>
      <c r="K764" s="152"/>
      <c r="L764" s="152"/>
      <c r="M764" s="152"/>
      <c r="N764" s="150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</row>
    <row r="765" customFormat="false" ht="11.25" hidden="false" customHeight="true" outlineLevel="0" collapsed="false">
      <c r="A765" s="89"/>
      <c r="B765" s="89"/>
      <c r="C765" s="89"/>
      <c r="D765" s="183"/>
      <c r="E765" s="152"/>
      <c r="F765" s="151"/>
      <c r="G765" s="151"/>
      <c r="H765" s="151"/>
      <c r="I765" s="151"/>
      <c r="J765" s="152"/>
      <c r="K765" s="152"/>
      <c r="L765" s="152"/>
      <c r="M765" s="152"/>
      <c r="N765" s="150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</row>
    <row r="766" customFormat="false" ht="11.25" hidden="false" customHeight="true" outlineLevel="0" collapsed="false">
      <c r="A766" s="89"/>
      <c r="B766" s="89"/>
      <c r="C766" s="89"/>
      <c r="D766" s="183"/>
      <c r="E766" s="152"/>
      <c r="F766" s="151"/>
      <c r="G766" s="151"/>
      <c r="H766" s="151"/>
      <c r="I766" s="151"/>
      <c r="J766" s="152"/>
      <c r="K766" s="152"/>
      <c r="L766" s="152"/>
      <c r="M766" s="152"/>
      <c r="N766" s="150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</row>
    <row r="767" customFormat="false" ht="11.25" hidden="false" customHeight="true" outlineLevel="0" collapsed="false">
      <c r="A767" s="89"/>
      <c r="B767" s="89"/>
      <c r="C767" s="89"/>
      <c r="D767" s="183"/>
      <c r="E767" s="152"/>
      <c r="F767" s="151"/>
      <c r="G767" s="151"/>
      <c r="H767" s="151"/>
      <c r="I767" s="151"/>
      <c r="J767" s="152"/>
      <c r="K767" s="152"/>
      <c r="L767" s="152"/>
      <c r="M767" s="152"/>
      <c r="N767" s="150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</row>
    <row r="768" customFormat="false" ht="11.25" hidden="false" customHeight="true" outlineLevel="0" collapsed="false">
      <c r="A768" s="89"/>
      <c r="B768" s="89"/>
      <c r="C768" s="89"/>
      <c r="D768" s="183"/>
      <c r="E768" s="152"/>
      <c r="F768" s="151"/>
      <c r="G768" s="151"/>
      <c r="H768" s="151"/>
      <c r="I768" s="151"/>
      <c r="J768" s="152"/>
      <c r="K768" s="152"/>
      <c r="L768" s="152"/>
      <c r="M768" s="152"/>
      <c r="N768" s="150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</row>
    <row r="769" customFormat="false" ht="11.25" hidden="false" customHeight="true" outlineLevel="0" collapsed="false">
      <c r="A769" s="89"/>
      <c r="B769" s="89"/>
      <c r="C769" s="89"/>
      <c r="D769" s="183"/>
      <c r="E769" s="152"/>
      <c r="F769" s="151"/>
      <c r="G769" s="151"/>
      <c r="H769" s="151"/>
      <c r="I769" s="151"/>
      <c r="J769" s="152"/>
      <c r="K769" s="152"/>
      <c r="L769" s="152"/>
      <c r="M769" s="152"/>
      <c r="N769" s="150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</row>
    <row r="770" customFormat="false" ht="11.25" hidden="false" customHeight="true" outlineLevel="0" collapsed="false">
      <c r="A770" s="89"/>
      <c r="B770" s="89"/>
      <c r="C770" s="89"/>
      <c r="D770" s="183"/>
      <c r="E770" s="152"/>
      <c r="F770" s="151"/>
      <c r="G770" s="151"/>
      <c r="H770" s="151"/>
      <c r="I770" s="151"/>
      <c r="J770" s="152"/>
      <c r="K770" s="152"/>
      <c r="L770" s="152"/>
      <c r="M770" s="152"/>
      <c r="N770" s="150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</row>
    <row r="771" customFormat="false" ht="11.25" hidden="false" customHeight="true" outlineLevel="0" collapsed="false">
      <c r="A771" s="89"/>
      <c r="B771" s="89"/>
      <c r="C771" s="89"/>
      <c r="D771" s="183"/>
      <c r="E771" s="152"/>
      <c r="F771" s="151"/>
      <c r="G771" s="151"/>
      <c r="H771" s="151"/>
      <c r="I771" s="151"/>
      <c r="J771" s="152"/>
      <c r="K771" s="152"/>
      <c r="L771" s="152"/>
      <c r="M771" s="152"/>
      <c r="N771" s="150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</row>
    <row r="772" customFormat="false" ht="11.25" hidden="false" customHeight="true" outlineLevel="0" collapsed="false">
      <c r="A772" s="89"/>
      <c r="B772" s="89"/>
      <c r="C772" s="89"/>
      <c r="D772" s="183"/>
      <c r="E772" s="152"/>
      <c r="F772" s="151"/>
      <c r="G772" s="151"/>
      <c r="H772" s="151"/>
      <c r="I772" s="151"/>
      <c r="J772" s="152"/>
      <c r="K772" s="152"/>
      <c r="L772" s="152"/>
      <c r="M772" s="152"/>
      <c r="N772" s="150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</row>
    <row r="773" customFormat="false" ht="11.25" hidden="false" customHeight="true" outlineLevel="0" collapsed="false">
      <c r="A773" s="89"/>
      <c r="B773" s="89"/>
      <c r="C773" s="89"/>
      <c r="D773" s="183"/>
      <c r="E773" s="152"/>
      <c r="F773" s="151"/>
      <c r="G773" s="151"/>
      <c r="H773" s="151"/>
      <c r="I773" s="151"/>
      <c r="J773" s="152"/>
      <c r="K773" s="152"/>
      <c r="L773" s="152"/>
      <c r="M773" s="152"/>
      <c r="N773" s="150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</row>
    <row r="774" customFormat="false" ht="11.25" hidden="false" customHeight="true" outlineLevel="0" collapsed="false">
      <c r="A774" s="89"/>
      <c r="B774" s="89"/>
      <c r="C774" s="89"/>
      <c r="D774" s="183"/>
      <c r="E774" s="152"/>
      <c r="F774" s="151"/>
      <c r="G774" s="151"/>
      <c r="H774" s="151"/>
      <c r="I774" s="151"/>
      <c r="J774" s="152"/>
      <c r="K774" s="152"/>
      <c r="L774" s="152"/>
      <c r="M774" s="152"/>
      <c r="N774" s="150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</row>
    <row r="775" customFormat="false" ht="11.25" hidden="false" customHeight="true" outlineLevel="0" collapsed="false">
      <c r="A775" s="89"/>
      <c r="B775" s="89"/>
      <c r="C775" s="89"/>
      <c r="D775" s="183"/>
      <c r="E775" s="152"/>
      <c r="F775" s="151"/>
      <c r="G775" s="151"/>
      <c r="H775" s="151"/>
      <c r="I775" s="151"/>
      <c r="J775" s="152"/>
      <c r="K775" s="152"/>
      <c r="L775" s="152"/>
      <c r="M775" s="152"/>
      <c r="N775" s="150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</row>
    <row r="776" customFormat="false" ht="11.25" hidden="false" customHeight="true" outlineLevel="0" collapsed="false">
      <c r="A776" s="89"/>
      <c r="B776" s="89"/>
      <c r="C776" s="89"/>
      <c r="D776" s="183"/>
      <c r="E776" s="152"/>
      <c r="F776" s="151"/>
      <c r="G776" s="151"/>
      <c r="H776" s="151"/>
      <c r="I776" s="151"/>
      <c r="J776" s="152"/>
      <c r="K776" s="152"/>
      <c r="L776" s="152"/>
      <c r="M776" s="152"/>
      <c r="N776" s="150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</row>
    <row r="777" customFormat="false" ht="11.25" hidden="false" customHeight="true" outlineLevel="0" collapsed="false">
      <c r="A777" s="89"/>
      <c r="B777" s="89"/>
      <c r="C777" s="89"/>
      <c r="D777" s="183"/>
      <c r="E777" s="152"/>
      <c r="F777" s="151"/>
      <c r="G777" s="151"/>
      <c r="H777" s="151"/>
      <c r="I777" s="151"/>
      <c r="J777" s="152"/>
      <c r="K777" s="152"/>
      <c r="L777" s="152"/>
      <c r="M777" s="152"/>
      <c r="N777" s="150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</row>
    <row r="778" customFormat="false" ht="11.25" hidden="false" customHeight="true" outlineLevel="0" collapsed="false">
      <c r="A778" s="89"/>
      <c r="B778" s="89"/>
      <c r="C778" s="89"/>
      <c r="D778" s="183"/>
      <c r="E778" s="152"/>
      <c r="F778" s="151"/>
      <c r="G778" s="151"/>
      <c r="H778" s="151"/>
      <c r="I778" s="151"/>
      <c r="J778" s="152"/>
      <c r="K778" s="152"/>
      <c r="L778" s="152"/>
      <c r="M778" s="152"/>
      <c r="N778" s="150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</row>
    <row r="779" customFormat="false" ht="11.25" hidden="false" customHeight="true" outlineLevel="0" collapsed="false">
      <c r="A779" s="89"/>
      <c r="B779" s="89"/>
      <c r="C779" s="89"/>
      <c r="D779" s="183"/>
      <c r="E779" s="152"/>
      <c r="F779" s="151"/>
      <c r="G779" s="151"/>
      <c r="H779" s="151"/>
      <c r="I779" s="151"/>
      <c r="J779" s="152"/>
      <c r="K779" s="152"/>
      <c r="L779" s="152"/>
      <c r="M779" s="152"/>
      <c r="N779" s="150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</row>
    <row r="780" customFormat="false" ht="11.25" hidden="false" customHeight="true" outlineLevel="0" collapsed="false">
      <c r="A780" s="89"/>
      <c r="B780" s="89"/>
      <c r="C780" s="89"/>
      <c r="D780" s="183"/>
      <c r="E780" s="152"/>
      <c r="F780" s="151"/>
      <c r="G780" s="151"/>
      <c r="H780" s="151"/>
      <c r="I780" s="151"/>
      <c r="J780" s="152"/>
      <c r="K780" s="152"/>
      <c r="L780" s="152"/>
      <c r="M780" s="152"/>
      <c r="N780" s="150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</row>
    <row r="781" customFormat="false" ht="11.25" hidden="false" customHeight="true" outlineLevel="0" collapsed="false">
      <c r="A781" s="89"/>
      <c r="B781" s="89"/>
      <c r="C781" s="89"/>
      <c r="D781" s="183"/>
      <c r="E781" s="152"/>
      <c r="F781" s="151"/>
      <c r="G781" s="151"/>
      <c r="H781" s="151"/>
      <c r="I781" s="151"/>
      <c r="J781" s="152"/>
      <c r="K781" s="152"/>
      <c r="L781" s="152"/>
      <c r="M781" s="152"/>
      <c r="N781" s="150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</row>
    <row r="782" customFormat="false" ht="11.25" hidden="false" customHeight="true" outlineLevel="0" collapsed="false">
      <c r="A782" s="89"/>
      <c r="B782" s="89"/>
      <c r="C782" s="89"/>
      <c r="D782" s="183"/>
      <c r="E782" s="152"/>
      <c r="F782" s="151"/>
      <c r="G782" s="151"/>
      <c r="H782" s="151"/>
      <c r="I782" s="151"/>
      <c r="J782" s="152"/>
      <c r="K782" s="152"/>
      <c r="L782" s="152"/>
      <c r="M782" s="152"/>
      <c r="N782" s="150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</row>
    <row r="783" customFormat="false" ht="11.25" hidden="false" customHeight="true" outlineLevel="0" collapsed="false">
      <c r="A783" s="89"/>
      <c r="B783" s="89"/>
      <c r="C783" s="89"/>
      <c r="D783" s="183"/>
      <c r="E783" s="152"/>
      <c r="F783" s="151"/>
      <c r="G783" s="151"/>
      <c r="H783" s="151"/>
      <c r="I783" s="151"/>
      <c r="J783" s="152"/>
      <c r="K783" s="152"/>
      <c r="L783" s="152"/>
      <c r="M783" s="152"/>
      <c r="N783" s="150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</row>
    <row r="784" customFormat="false" ht="11.25" hidden="false" customHeight="true" outlineLevel="0" collapsed="false">
      <c r="A784" s="89"/>
      <c r="B784" s="89"/>
      <c r="C784" s="89"/>
      <c r="D784" s="183"/>
      <c r="E784" s="152"/>
      <c r="F784" s="151"/>
      <c r="G784" s="151"/>
      <c r="H784" s="151"/>
      <c r="I784" s="151"/>
      <c r="J784" s="152"/>
      <c r="K784" s="152"/>
      <c r="L784" s="152"/>
      <c r="M784" s="152"/>
      <c r="N784" s="150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</row>
    <row r="785" customFormat="false" ht="11.25" hidden="false" customHeight="true" outlineLevel="0" collapsed="false">
      <c r="A785" s="89"/>
      <c r="B785" s="89"/>
      <c r="C785" s="89"/>
      <c r="D785" s="183"/>
      <c r="E785" s="152"/>
      <c r="F785" s="151"/>
      <c r="G785" s="151"/>
      <c r="H785" s="151"/>
      <c r="I785" s="151"/>
      <c r="J785" s="152"/>
      <c r="K785" s="152"/>
      <c r="L785" s="152"/>
      <c r="M785" s="152"/>
      <c r="N785" s="150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</row>
    <row r="786" customFormat="false" ht="11.25" hidden="false" customHeight="true" outlineLevel="0" collapsed="false">
      <c r="A786" s="89"/>
      <c r="B786" s="89"/>
      <c r="C786" s="89"/>
      <c r="D786" s="183"/>
      <c r="E786" s="152"/>
      <c r="F786" s="151"/>
      <c r="G786" s="151"/>
      <c r="H786" s="151"/>
      <c r="I786" s="151"/>
      <c r="J786" s="152"/>
      <c r="K786" s="152"/>
      <c r="L786" s="152"/>
      <c r="M786" s="152"/>
      <c r="N786" s="150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</row>
    <row r="787" customFormat="false" ht="11.25" hidden="false" customHeight="true" outlineLevel="0" collapsed="false">
      <c r="A787" s="89"/>
      <c r="B787" s="89"/>
      <c r="C787" s="89"/>
      <c r="D787" s="183"/>
      <c r="E787" s="152"/>
      <c r="F787" s="151"/>
      <c r="G787" s="151"/>
      <c r="H787" s="151"/>
      <c r="I787" s="151"/>
      <c r="J787" s="152"/>
      <c r="K787" s="152"/>
      <c r="L787" s="152"/>
      <c r="M787" s="152"/>
      <c r="N787" s="150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</row>
    <row r="788" customFormat="false" ht="11.25" hidden="false" customHeight="true" outlineLevel="0" collapsed="false">
      <c r="A788" s="89"/>
      <c r="B788" s="89"/>
      <c r="C788" s="89"/>
      <c r="D788" s="183"/>
      <c r="E788" s="152"/>
      <c r="F788" s="151"/>
      <c r="G788" s="151"/>
      <c r="H788" s="151"/>
      <c r="I788" s="151"/>
      <c r="J788" s="152"/>
      <c r="K788" s="152"/>
      <c r="L788" s="152"/>
      <c r="M788" s="152"/>
      <c r="N788" s="150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</row>
    <row r="789" customFormat="false" ht="11.25" hidden="false" customHeight="true" outlineLevel="0" collapsed="false">
      <c r="A789" s="89"/>
      <c r="B789" s="89"/>
      <c r="C789" s="89"/>
      <c r="D789" s="183"/>
      <c r="E789" s="152"/>
      <c r="F789" s="151"/>
      <c r="G789" s="151"/>
      <c r="H789" s="151"/>
      <c r="I789" s="151"/>
      <c r="J789" s="152"/>
      <c r="K789" s="152"/>
      <c r="L789" s="152"/>
      <c r="M789" s="152"/>
      <c r="N789" s="150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</row>
    <row r="790" customFormat="false" ht="11.25" hidden="false" customHeight="true" outlineLevel="0" collapsed="false">
      <c r="A790" s="89"/>
      <c r="B790" s="89"/>
      <c r="C790" s="89"/>
      <c r="D790" s="183"/>
      <c r="E790" s="152"/>
      <c r="F790" s="151"/>
      <c r="G790" s="151"/>
      <c r="H790" s="151"/>
      <c r="I790" s="151"/>
      <c r="J790" s="152"/>
      <c r="K790" s="152"/>
      <c r="L790" s="152"/>
      <c r="M790" s="152"/>
      <c r="N790" s="150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</row>
    <row r="791" customFormat="false" ht="11.25" hidden="false" customHeight="true" outlineLevel="0" collapsed="false">
      <c r="A791" s="89"/>
      <c r="B791" s="89"/>
      <c r="C791" s="89"/>
      <c r="D791" s="183"/>
      <c r="E791" s="152"/>
      <c r="F791" s="151"/>
      <c r="G791" s="151"/>
      <c r="H791" s="151"/>
      <c r="I791" s="151"/>
      <c r="J791" s="152"/>
      <c r="K791" s="152"/>
      <c r="L791" s="152"/>
      <c r="M791" s="152"/>
      <c r="N791" s="150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</row>
    <row r="792" customFormat="false" ht="11.25" hidden="false" customHeight="true" outlineLevel="0" collapsed="false">
      <c r="A792" s="89"/>
      <c r="B792" s="89"/>
      <c r="C792" s="89"/>
      <c r="D792" s="183"/>
      <c r="E792" s="152"/>
      <c r="F792" s="151"/>
      <c r="G792" s="151"/>
      <c r="H792" s="151"/>
      <c r="I792" s="151"/>
      <c r="J792" s="152"/>
      <c r="K792" s="152"/>
      <c r="L792" s="152"/>
      <c r="M792" s="152"/>
      <c r="N792" s="150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</row>
    <row r="793" customFormat="false" ht="11.25" hidden="false" customHeight="true" outlineLevel="0" collapsed="false">
      <c r="A793" s="89"/>
      <c r="B793" s="89"/>
      <c r="C793" s="89"/>
      <c r="D793" s="183"/>
      <c r="E793" s="152"/>
      <c r="F793" s="151"/>
      <c r="G793" s="151"/>
      <c r="H793" s="151"/>
      <c r="I793" s="151"/>
      <c r="J793" s="152"/>
      <c r="K793" s="152"/>
      <c r="L793" s="152"/>
      <c r="M793" s="152"/>
      <c r="N793" s="150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</row>
    <row r="794" customFormat="false" ht="11.25" hidden="false" customHeight="true" outlineLevel="0" collapsed="false">
      <c r="A794" s="89"/>
      <c r="B794" s="89"/>
      <c r="C794" s="89"/>
      <c r="D794" s="183"/>
      <c r="E794" s="152"/>
      <c r="F794" s="151"/>
      <c r="G794" s="151"/>
      <c r="H794" s="151"/>
      <c r="I794" s="151"/>
      <c r="J794" s="152"/>
      <c r="K794" s="152"/>
      <c r="L794" s="152"/>
      <c r="M794" s="152"/>
      <c r="N794" s="150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</row>
    <row r="795" customFormat="false" ht="11.25" hidden="false" customHeight="true" outlineLevel="0" collapsed="false">
      <c r="A795" s="89"/>
      <c r="B795" s="89"/>
      <c r="C795" s="89"/>
      <c r="D795" s="183"/>
      <c r="E795" s="152"/>
      <c r="F795" s="151"/>
      <c r="G795" s="151"/>
      <c r="H795" s="151"/>
      <c r="I795" s="151"/>
      <c r="J795" s="152"/>
      <c r="K795" s="152"/>
      <c r="L795" s="152"/>
      <c r="M795" s="152"/>
      <c r="N795" s="150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</row>
    <row r="796" customFormat="false" ht="11.25" hidden="false" customHeight="true" outlineLevel="0" collapsed="false">
      <c r="A796" s="89"/>
      <c r="B796" s="89"/>
      <c r="C796" s="89"/>
      <c r="D796" s="183"/>
      <c r="E796" s="152"/>
      <c r="F796" s="151"/>
      <c r="G796" s="151"/>
      <c r="H796" s="151"/>
      <c r="I796" s="151"/>
      <c r="J796" s="152"/>
      <c r="K796" s="152"/>
      <c r="L796" s="152"/>
      <c r="M796" s="152"/>
      <c r="N796" s="150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</row>
    <row r="797" customFormat="false" ht="11.25" hidden="false" customHeight="true" outlineLevel="0" collapsed="false">
      <c r="A797" s="89"/>
      <c r="B797" s="89"/>
      <c r="C797" s="89"/>
      <c r="D797" s="183"/>
      <c r="E797" s="152"/>
      <c r="F797" s="151"/>
      <c r="G797" s="151"/>
      <c r="H797" s="151"/>
      <c r="I797" s="151"/>
      <c r="J797" s="152"/>
      <c r="K797" s="152"/>
      <c r="L797" s="152"/>
      <c r="M797" s="152"/>
      <c r="N797" s="150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</row>
    <row r="798" customFormat="false" ht="11.25" hidden="false" customHeight="true" outlineLevel="0" collapsed="false">
      <c r="A798" s="89"/>
      <c r="B798" s="89"/>
      <c r="C798" s="89"/>
      <c r="D798" s="183"/>
      <c r="E798" s="152"/>
      <c r="F798" s="151"/>
      <c r="G798" s="151"/>
      <c r="H798" s="151"/>
      <c r="I798" s="151"/>
      <c r="J798" s="152"/>
      <c r="K798" s="152"/>
      <c r="L798" s="152"/>
      <c r="M798" s="152"/>
      <c r="N798" s="150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</row>
    <row r="799" customFormat="false" ht="11.25" hidden="false" customHeight="true" outlineLevel="0" collapsed="false">
      <c r="A799" s="89"/>
      <c r="B799" s="89"/>
      <c r="C799" s="89"/>
      <c r="D799" s="183"/>
      <c r="E799" s="152"/>
      <c r="F799" s="151"/>
      <c r="G799" s="151"/>
      <c r="H799" s="151"/>
      <c r="I799" s="151"/>
      <c r="J799" s="152"/>
      <c r="K799" s="152"/>
      <c r="L799" s="152"/>
      <c r="M799" s="152"/>
      <c r="N799" s="150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</row>
    <row r="800" customFormat="false" ht="11.25" hidden="false" customHeight="true" outlineLevel="0" collapsed="false">
      <c r="A800" s="89"/>
      <c r="B800" s="89"/>
      <c r="C800" s="89"/>
      <c r="D800" s="183"/>
      <c r="E800" s="152"/>
      <c r="F800" s="151"/>
      <c r="G800" s="151"/>
      <c r="H800" s="151"/>
      <c r="I800" s="151"/>
      <c r="J800" s="152"/>
      <c r="K800" s="152"/>
      <c r="L800" s="152"/>
      <c r="M800" s="152"/>
      <c r="N800" s="150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</row>
    <row r="801" customFormat="false" ht="11.25" hidden="false" customHeight="true" outlineLevel="0" collapsed="false">
      <c r="A801" s="89"/>
      <c r="B801" s="89"/>
      <c r="C801" s="89"/>
      <c r="D801" s="183"/>
      <c r="E801" s="152"/>
      <c r="F801" s="151"/>
      <c r="G801" s="151"/>
      <c r="H801" s="151"/>
      <c r="I801" s="151"/>
      <c r="J801" s="152"/>
      <c r="K801" s="152"/>
      <c r="L801" s="152"/>
      <c r="M801" s="152"/>
      <c r="N801" s="150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</row>
    <row r="802" customFormat="false" ht="11.25" hidden="false" customHeight="true" outlineLevel="0" collapsed="false">
      <c r="A802" s="89"/>
      <c r="B802" s="89"/>
      <c r="C802" s="89"/>
      <c r="D802" s="183"/>
      <c r="E802" s="152"/>
      <c r="F802" s="151"/>
      <c r="G802" s="151"/>
      <c r="H802" s="151"/>
      <c r="I802" s="151"/>
      <c r="J802" s="152"/>
      <c r="K802" s="152"/>
      <c r="L802" s="152"/>
      <c r="M802" s="152"/>
      <c r="N802" s="150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</row>
    <row r="803" customFormat="false" ht="11.25" hidden="false" customHeight="true" outlineLevel="0" collapsed="false">
      <c r="A803" s="89"/>
      <c r="B803" s="89"/>
      <c r="C803" s="89"/>
      <c r="D803" s="183"/>
      <c r="E803" s="152"/>
      <c r="F803" s="151"/>
      <c r="G803" s="151"/>
      <c r="H803" s="151"/>
      <c r="I803" s="151"/>
      <c r="J803" s="152"/>
      <c r="K803" s="152"/>
      <c r="L803" s="152"/>
      <c r="M803" s="152"/>
      <c r="N803" s="150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</row>
    <row r="804" customFormat="false" ht="11.25" hidden="false" customHeight="true" outlineLevel="0" collapsed="false">
      <c r="A804" s="89"/>
      <c r="B804" s="89"/>
      <c r="C804" s="89"/>
      <c r="D804" s="183"/>
      <c r="E804" s="152"/>
      <c r="F804" s="151"/>
      <c r="G804" s="151"/>
      <c r="H804" s="151"/>
      <c r="I804" s="151"/>
      <c r="J804" s="152"/>
      <c r="K804" s="152"/>
      <c r="L804" s="152"/>
      <c r="M804" s="152"/>
      <c r="N804" s="150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</row>
    <row r="805" customFormat="false" ht="11.25" hidden="false" customHeight="true" outlineLevel="0" collapsed="false">
      <c r="A805" s="89"/>
      <c r="B805" s="89"/>
      <c r="C805" s="89"/>
      <c r="D805" s="183"/>
      <c r="E805" s="152"/>
      <c r="F805" s="151"/>
      <c r="G805" s="151"/>
      <c r="H805" s="151"/>
      <c r="I805" s="151"/>
      <c r="J805" s="152"/>
      <c r="K805" s="152"/>
      <c r="L805" s="152"/>
      <c r="M805" s="152"/>
      <c r="N805" s="150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</row>
    <row r="806" customFormat="false" ht="11.25" hidden="false" customHeight="true" outlineLevel="0" collapsed="false">
      <c r="A806" s="89"/>
      <c r="B806" s="89"/>
      <c r="C806" s="89"/>
      <c r="D806" s="183"/>
      <c r="E806" s="152"/>
      <c r="F806" s="151"/>
      <c r="G806" s="151"/>
      <c r="H806" s="151"/>
      <c r="I806" s="151"/>
      <c r="J806" s="152"/>
      <c r="K806" s="152"/>
      <c r="L806" s="152"/>
      <c r="M806" s="152"/>
      <c r="N806" s="150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</row>
    <row r="807" customFormat="false" ht="11.25" hidden="false" customHeight="true" outlineLevel="0" collapsed="false">
      <c r="A807" s="89"/>
      <c r="B807" s="89"/>
      <c r="C807" s="89"/>
      <c r="D807" s="183"/>
      <c r="E807" s="152"/>
      <c r="F807" s="151"/>
      <c r="G807" s="151"/>
      <c r="H807" s="151"/>
      <c r="I807" s="151"/>
      <c r="J807" s="152"/>
      <c r="K807" s="152"/>
      <c r="L807" s="152"/>
      <c r="M807" s="152"/>
      <c r="N807" s="150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</row>
    <row r="808" customFormat="false" ht="11.25" hidden="false" customHeight="true" outlineLevel="0" collapsed="false">
      <c r="A808" s="89"/>
      <c r="B808" s="89"/>
      <c r="C808" s="89"/>
      <c r="D808" s="183"/>
      <c r="E808" s="152"/>
      <c r="F808" s="151"/>
      <c r="G808" s="151"/>
      <c r="H808" s="151"/>
      <c r="I808" s="151"/>
      <c r="J808" s="152"/>
      <c r="K808" s="152"/>
      <c r="L808" s="152"/>
      <c r="M808" s="152"/>
      <c r="N808" s="150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</row>
    <row r="809" customFormat="false" ht="11.25" hidden="false" customHeight="true" outlineLevel="0" collapsed="false">
      <c r="A809" s="89"/>
      <c r="B809" s="89"/>
      <c r="C809" s="89"/>
      <c r="D809" s="183"/>
      <c r="E809" s="152"/>
      <c r="F809" s="151"/>
      <c r="G809" s="151"/>
      <c r="H809" s="151"/>
      <c r="I809" s="151"/>
      <c r="J809" s="152"/>
      <c r="K809" s="152"/>
      <c r="L809" s="152"/>
      <c r="M809" s="152"/>
      <c r="N809" s="150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</row>
    <row r="810" customFormat="false" ht="11.25" hidden="false" customHeight="true" outlineLevel="0" collapsed="false">
      <c r="A810" s="89"/>
      <c r="B810" s="89"/>
      <c r="C810" s="89"/>
      <c r="D810" s="183"/>
      <c r="E810" s="152"/>
      <c r="F810" s="151"/>
      <c r="G810" s="151"/>
      <c r="H810" s="151"/>
      <c r="I810" s="151"/>
      <c r="J810" s="152"/>
      <c r="K810" s="152"/>
      <c r="L810" s="152"/>
      <c r="M810" s="152"/>
      <c r="N810" s="150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</row>
    <row r="811" customFormat="false" ht="11.25" hidden="false" customHeight="true" outlineLevel="0" collapsed="false">
      <c r="A811" s="89"/>
      <c r="B811" s="89"/>
      <c r="C811" s="89"/>
      <c r="D811" s="183"/>
      <c r="E811" s="152"/>
      <c r="F811" s="151"/>
      <c r="G811" s="151"/>
      <c r="H811" s="151"/>
      <c r="I811" s="151"/>
      <c r="J811" s="152"/>
      <c r="K811" s="152"/>
      <c r="L811" s="152"/>
      <c r="M811" s="152"/>
      <c r="N811" s="150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</row>
    <row r="812" customFormat="false" ht="11.25" hidden="false" customHeight="true" outlineLevel="0" collapsed="false">
      <c r="A812" s="89"/>
      <c r="B812" s="89"/>
      <c r="C812" s="89"/>
      <c r="D812" s="183"/>
      <c r="E812" s="152"/>
      <c r="F812" s="151"/>
      <c r="G812" s="151"/>
      <c r="H812" s="151"/>
      <c r="I812" s="151"/>
      <c r="J812" s="152"/>
      <c r="K812" s="152"/>
      <c r="L812" s="152"/>
      <c r="M812" s="152"/>
      <c r="N812" s="150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</row>
    <row r="813" customFormat="false" ht="11.25" hidden="false" customHeight="true" outlineLevel="0" collapsed="false">
      <c r="A813" s="89"/>
      <c r="B813" s="89"/>
      <c r="C813" s="89"/>
      <c r="D813" s="183"/>
      <c r="E813" s="152"/>
      <c r="F813" s="151"/>
      <c r="G813" s="151"/>
      <c r="H813" s="151"/>
      <c r="I813" s="151"/>
      <c r="J813" s="152"/>
      <c r="K813" s="152"/>
      <c r="L813" s="152"/>
      <c r="M813" s="152"/>
      <c r="N813" s="150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</row>
    <row r="814" customFormat="false" ht="11.25" hidden="false" customHeight="true" outlineLevel="0" collapsed="false">
      <c r="A814" s="89"/>
      <c r="B814" s="89"/>
      <c r="C814" s="89"/>
      <c r="D814" s="183"/>
      <c r="E814" s="152"/>
      <c r="F814" s="151"/>
      <c r="G814" s="151"/>
      <c r="H814" s="151"/>
      <c r="I814" s="151"/>
      <c r="J814" s="152"/>
      <c r="K814" s="152"/>
      <c r="L814" s="152"/>
      <c r="M814" s="152"/>
      <c r="N814" s="150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</row>
    <row r="815" customFormat="false" ht="11.25" hidden="false" customHeight="true" outlineLevel="0" collapsed="false">
      <c r="A815" s="89"/>
      <c r="B815" s="89"/>
      <c r="C815" s="89"/>
      <c r="D815" s="183"/>
      <c r="E815" s="152"/>
      <c r="F815" s="151"/>
      <c r="G815" s="151"/>
      <c r="H815" s="151"/>
      <c r="I815" s="151"/>
      <c r="J815" s="152"/>
      <c r="K815" s="152"/>
      <c r="L815" s="152"/>
      <c r="M815" s="152"/>
      <c r="N815" s="150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</row>
    <row r="816" customFormat="false" ht="11.25" hidden="false" customHeight="true" outlineLevel="0" collapsed="false">
      <c r="A816" s="89"/>
      <c r="B816" s="89"/>
      <c r="C816" s="89"/>
      <c r="D816" s="183"/>
      <c r="E816" s="152"/>
      <c r="F816" s="151"/>
      <c r="G816" s="151"/>
      <c r="H816" s="151"/>
      <c r="I816" s="151"/>
      <c r="J816" s="152"/>
      <c r="K816" s="152"/>
      <c r="L816" s="152"/>
      <c r="M816" s="152"/>
      <c r="N816" s="150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</row>
    <row r="817" customFormat="false" ht="11.25" hidden="false" customHeight="true" outlineLevel="0" collapsed="false">
      <c r="A817" s="89"/>
      <c r="B817" s="89"/>
      <c r="C817" s="89"/>
      <c r="D817" s="183"/>
      <c r="E817" s="152"/>
      <c r="F817" s="151"/>
      <c r="G817" s="151"/>
      <c r="H817" s="151"/>
      <c r="I817" s="151"/>
      <c r="J817" s="152"/>
      <c r="K817" s="152"/>
      <c r="L817" s="152"/>
      <c r="M817" s="152"/>
      <c r="N817" s="150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</row>
    <row r="818" customFormat="false" ht="11.25" hidden="false" customHeight="true" outlineLevel="0" collapsed="false">
      <c r="A818" s="89"/>
      <c r="B818" s="89"/>
      <c r="C818" s="89"/>
      <c r="D818" s="183"/>
      <c r="E818" s="152"/>
      <c r="F818" s="151"/>
      <c r="G818" s="151"/>
      <c r="H818" s="151"/>
      <c r="I818" s="151"/>
      <c r="J818" s="152"/>
      <c r="K818" s="152"/>
      <c r="L818" s="152"/>
      <c r="M818" s="152"/>
      <c r="N818" s="150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</row>
    <row r="819" customFormat="false" ht="11.25" hidden="false" customHeight="true" outlineLevel="0" collapsed="false">
      <c r="A819" s="89"/>
      <c r="B819" s="89"/>
      <c r="C819" s="89"/>
      <c r="D819" s="183"/>
      <c r="E819" s="152"/>
      <c r="F819" s="151"/>
      <c r="G819" s="151"/>
      <c r="H819" s="151"/>
      <c r="I819" s="151"/>
      <c r="J819" s="152"/>
      <c r="K819" s="152"/>
      <c r="L819" s="152"/>
      <c r="M819" s="152"/>
      <c r="N819" s="150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</row>
    <row r="820" customFormat="false" ht="11.25" hidden="false" customHeight="true" outlineLevel="0" collapsed="false">
      <c r="A820" s="89"/>
      <c r="B820" s="89"/>
      <c r="C820" s="89"/>
      <c r="D820" s="183"/>
      <c r="E820" s="152"/>
      <c r="F820" s="151"/>
      <c r="G820" s="151"/>
      <c r="H820" s="151"/>
      <c r="I820" s="151"/>
      <c r="J820" s="152"/>
      <c r="K820" s="152"/>
      <c r="L820" s="152"/>
      <c r="M820" s="152"/>
      <c r="N820" s="150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</row>
    <row r="821" customFormat="false" ht="11.25" hidden="false" customHeight="true" outlineLevel="0" collapsed="false">
      <c r="A821" s="89"/>
      <c r="B821" s="89"/>
      <c r="C821" s="89"/>
      <c r="D821" s="183"/>
      <c r="E821" s="152"/>
      <c r="F821" s="151"/>
      <c r="G821" s="151"/>
      <c r="H821" s="151"/>
      <c r="I821" s="151"/>
      <c r="J821" s="152"/>
      <c r="K821" s="152"/>
      <c r="L821" s="152"/>
      <c r="M821" s="152"/>
      <c r="N821" s="150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</row>
    <row r="822" customFormat="false" ht="11.25" hidden="false" customHeight="true" outlineLevel="0" collapsed="false">
      <c r="A822" s="89"/>
      <c r="B822" s="89"/>
      <c r="C822" s="89"/>
      <c r="D822" s="183"/>
      <c r="E822" s="152"/>
      <c r="F822" s="151"/>
      <c r="G822" s="151"/>
      <c r="H822" s="151"/>
      <c r="I822" s="151"/>
      <c r="J822" s="152"/>
      <c r="K822" s="152"/>
      <c r="L822" s="152"/>
      <c r="M822" s="152"/>
      <c r="N822" s="150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</row>
    <row r="823" customFormat="false" ht="11.25" hidden="false" customHeight="true" outlineLevel="0" collapsed="false">
      <c r="A823" s="89"/>
      <c r="B823" s="89"/>
      <c r="C823" s="89"/>
      <c r="D823" s="183"/>
      <c r="E823" s="152"/>
      <c r="F823" s="151"/>
      <c r="G823" s="151"/>
      <c r="H823" s="151"/>
      <c r="I823" s="151"/>
      <c r="J823" s="152"/>
      <c r="K823" s="152"/>
      <c r="L823" s="152"/>
      <c r="M823" s="152"/>
      <c r="N823" s="150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</row>
    <row r="824" customFormat="false" ht="11.25" hidden="false" customHeight="true" outlineLevel="0" collapsed="false">
      <c r="A824" s="89"/>
      <c r="B824" s="89"/>
      <c r="C824" s="89"/>
      <c r="D824" s="183"/>
      <c r="E824" s="152"/>
      <c r="F824" s="151"/>
      <c r="G824" s="151"/>
      <c r="H824" s="151"/>
      <c r="I824" s="151"/>
      <c r="J824" s="152"/>
      <c r="K824" s="152"/>
      <c r="L824" s="152"/>
      <c r="M824" s="152"/>
      <c r="N824" s="150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</row>
    <row r="825" customFormat="false" ht="11.25" hidden="false" customHeight="true" outlineLevel="0" collapsed="false">
      <c r="A825" s="89"/>
      <c r="B825" s="89"/>
      <c r="C825" s="89"/>
      <c r="D825" s="183"/>
      <c r="E825" s="152"/>
      <c r="F825" s="151"/>
      <c r="G825" s="151"/>
      <c r="H825" s="151"/>
      <c r="I825" s="151"/>
      <c r="J825" s="152"/>
      <c r="K825" s="152"/>
      <c r="L825" s="152"/>
      <c r="M825" s="152"/>
      <c r="N825" s="150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</row>
    <row r="826" customFormat="false" ht="11.25" hidden="false" customHeight="true" outlineLevel="0" collapsed="false">
      <c r="A826" s="89"/>
      <c r="B826" s="89"/>
      <c r="C826" s="89"/>
      <c r="D826" s="183"/>
      <c r="E826" s="152"/>
      <c r="F826" s="151"/>
      <c r="G826" s="151"/>
      <c r="H826" s="151"/>
      <c r="I826" s="151"/>
      <c r="J826" s="152"/>
      <c r="K826" s="152"/>
      <c r="L826" s="152"/>
      <c r="M826" s="152"/>
      <c r="N826" s="150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</row>
    <row r="827" customFormat="false" ht="11.25" hidden="false" customHeight="true" outlineLevel="0" collapsed="false">
      <c r="A827" s="89"/>
      <c r="B827" s="89"/>
      <c r="C827" s="89"/>
      <c r="D827" s="183"/>
      <c r="E827" s="152"/>
      <c r="F827" s="151"/>
      <c r="G827" s="151"/>
      <c r="H827" s="151"/>
      <c r="I827" s="151"/>
      <c r="J827" s="152"/>
      <c r="K827" s="152"/>
      <c r="L827" s="152"/>
      <c r="M827" s="152"/>
      <c r="N827" s="150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</row>
    <row r="828" customFormat="false" ht="11.25" hidden="false" customHeight="true" outlineLevel="0" collapsed="false">
      <c r="A828" s="89"/>
      <c r="B828" s="89"/>
      <c r="C828" s="89"/>
      <c r="D828" s="183"/>
      <c r="E828" s="152"/>
      <c r="F828" s="151"/>
      <c r="G828" s="151"/>
      <c r="H828" s="151"/>
      <c r="I828" s="151"/>
      <c r="J828" s="152"/>
      <c r="K828" s="152"/>
      <c r="L828" s="152"/>
      <c r="M828" s="152"/>
      <c r="N828" s="150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</row>
    <row r="829" customFormat="false" ht="11.25" hidden="false" customHeight="true" outlineLevel="0" collapsed="false">
      <c r="A829" s="89"/>
      <c r="B829" s="89"/>
      <c r="C829" s="89"/>
      <c r="D829" s="183"/>
      <c r="E829" s="152"/>
      <c r="F829" s="151"/>
      <c r="G829" s="151"/>
      <c r="H829" s="151"/>
      <c r="I829" s="151"/>
      <c r="J829" s="152"/>
      <c r="K829" s="152"/>
      <c r="L829" s="152"/>
      <c r="M829" s="152"/>
      <c r="N829" s="150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</row>
    <row r="830" customFormat="false" ht="11.25" hidden="false" customHeight="true" outlineLevel="0" collapsed="false">
      <c r="A830" s="89"/>
      <c r="B830" s="89"/>
      <c r="C830" s="89"/>
      <c r="D830" s="183"/>
      <c r="E830" s="152"/>
      <c r="F830" s="151"/>
      <c r="G830" s="151"/>
      <c r="H830" s="151"/>
      <c r="I830" s="151"/>
      <c r="J830" s="152"/>
      <c r="K830" s="152"/>
      <c r="L830" s="152"/>
      <c r="M830" s="152"/>
      <c r="N830" s="150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</row>
    <row r="831" customFormat="false" ht="11.25" hidden="false" customHeight="true" outlineLevel="0" collapsed="false">
      <c r="A831" s="89"/>
      <c r="B831" s="89"/>
      <c r="C831" s="89"/>
      <c r="D831" s="183"/>
      <c r="E831" s="152"/>
      <c r="F831" s="151"/>
      <c r="G831" s="151"/>
      <c r="H831" s="151"/>
      <c r="I831" s="151"/>
      <c r="J831" s="152"/>
      <c r="K831" s="152"/>
      <c r="L831" s="152"/>
      <c r="M831" s="152"/>
      <c r="N831" s="150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</row>
    <row r="832" customFormat="false" ht="11.25" hidden="false" customHeight="true" outlineLevel="0" collapsed="false">
      <c r="A832" s="89"/>
      <c r="B832" s="89"/>
      <c r="C832" s="89"/>
      <c r="D832" s="183"/>
      <c r="E832" s="152"/>
      <c r="F832" s="151"/>
      <c r="G832" s="151"/>
      <c r="H832" s="151"/>
      <c r="I832" s="151"/>
      <c r="J832" s="152"/>
      <c r="K832" s="152"/>
      <c r="L832" s="152"/>
      <c r="M832" s="152"/>
      <c r="N832" s="150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</row>
    <row r="833" customFormat="false" ht="11.25" hidden="false" customHeight="true" outlineLevel="0" collapsed="false">
      <c r="A833" s="89"/>
      <c r="B833" s="89"/>
      <c r="C833" s="89"/>
      <c r="D833" s="183"/>
      <c r="E833" s="152"/>
      <c r="F833" s="151"/>
      <c r="G833" s="151"/>
      <c r="H833" s="151"/>
      <c r="I833" s="151"/>
      <c r="J833" s="152"/>
      <c r="K833" s="152"/>
      <c r="L833" s="152"/>
      <c r="M833" s="152"/>
      <c r="N833" s="150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</row>
    <row r="834" customFormat="false" ht="11.25" hidden="false" customHeight="true" outlineLevel="0" collapsed="false">
      <c r="A834" s="89"/>
      <c r="B834" s="89"/>
      <c r="C834" s="89"/>
      <c r="D834" s="183"/>
      <c r="E834" s="152"/>
      <c r="F834" s="151"/>
      <c r="G834" s="151"/>
      <c r="H834" s="151"/>
      <c r="I834" s="151"/>
      <c r="J834" s="152"/>
      <c r="K834" s="152"/>
      <c r="L834" s="152"/>
      <c r="M834" s="152"/>
      <c r="N834" s="150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</row>
    <row r="835" customFormat="false" ht="11.25" hidden="false" customHeight="true" outlineLevel="0" collapsed="false">
      <c r="A835" s="89"/>
      <c r="B835" s="89"/>
      <c r="C835" s="89"/>
      <c r="D835" s="183"/>
      <c r="E835" s="152"/>
      <c r="F835" s="151"/>
      <c r="G835" s="151"/>
      <c r="H835" s="151"/>
      <c r="I835" s="151"/>
      <c r="J835" s="152"/>
      <c r="K835" s="152"/>
      <c r="L835" s="152"/>
      <c r="M835" s="152"/>
      <c r="N835" s="150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</row>
    <row r="836" customFormat="false" ht="11.25" hidden="false" customHeight="true" outlineLevel="0" collapsed="false">
      <c r="A836" s="89"/>
      <c r="B836" s="89"/>
      <c r="C836" s="89"/>
      <c r="D836" s="183"/>
      <c r="E836" s="152"/>
      <c r="F836" s="151"/>
      <c r="G836" s="151"/>
      <c r="H836" s="151"/>
      <c r="I836" s="151"/>
      <c r="J836" s="152"/>
      <c r="K836" s="152"/>
      <c r="L836" s="152"/>
      <c r="M836" s="152"/>
      <c r="N836" s="150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</row>
    <row r="837" customFormat="false" ht="11.25" hidden="false" customHeight="true" outlineLevel="0" collapsed="false">
      <c r="A837" s="89"/>
      <c r="B837" s="89"/>
      <c r="C837" s="89"/>
      <c r="D837" s="183"/>
      <c r="E837" s="152"/>
      <c r="F837" s="151"/>
      <c r="G837" s="151"/>
      <c r="H837" s="151"/>
      <c r="I837" s="151"/>
      <c r="J837" s="152"/>
      <c r="K837" s="152"/>
      <c r="L837" s="152"/>
      <c r="M837" s="152"/>
      <c r="N837" s="150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</row>
    <row r="838" customFormat="false" ht="11.25" hidden="false" customHeight="true" outlineLevel="0" collapsed="false">
      <c r="A838" s="89"/>
      <c r="B838" s="89"/>
      <c r="C838" s="89"/>
      <c r="D838" s="183"/>
      <c r="E838" s="152"/>
      <c r="F838" s="151"/>
      <c r="G838" s="151"/>
      <c r="H838" s="151"/>
      <c r="I838" s="151"/>
      <c r="J838" s="152"/>
      <c r="K838" s="152"/>
      <c r="L838" s="152"/>
      <c r="M838" s="152"/>
      <c r="N838" s="150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</row>
    <row r="839" customFormat="false" ht="11.25" hidden="false" customHeight="true" outlineLevel="0" collapsed="false">
      <c r="A839" s="89"/>
      <c r="B839" s="89"/>
      <c r="C839" s="89"/>
      <c r="D839" s="183"/>
      <c r="E839" s="152"/>
      <c r="F839" s="151"/>
      <c r="G839" s="151"/>
      <c r="H839" s="151"/>
      <c r="I839" s="151"/>
      <c r="J839" s="152"/>
      <c r="K839" s="152"/>
      <c r="L839" s="152"/>
      <c r="M839" s="152"/>
      <c r="N839" s="150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</row>
    <row r="840" customFormat="false" ht="11.25" hidden="false" customHeight="true" outlineLevel="0" collapsed="false">
      <c r="A840" s="89"/>
      <c r="B840" s="89"/>
      <c r="C840" s="89"/>
      <c r="D840" s="183"/>
      <c r="E840" s="152"/>
      <c r="F840" s="151"/>
      <c r="G840" s="151"/>
      <c r="H840" s="151"/>
      <c r="I840" s="151"/>
      <c r="J840" s="152"/>
      <c r="K840" s="152"/>
      <c r="L840" s="152"/>
      <c r="M840" s="152"/>
      <c r="N840" s="150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</row>
    <row r="841" customFormat="false" ht="11.25" hidden="false" customHeight="true" outlineLevel="0" collapsed="false">
      <c r="A841" s="89"/>
      <c r="B841" s="89"/>
      <c r="C841" s="89"/>
      <c r="D841" s="183"/>
      <c r="E841" s="152"/>
      <c r="F841" s="151"/>
      <c r="G841" s="151"/>
      <c r="H841" s="151"/>
      <c r="I841" s="151"/>
      <c r="J841" s="152"/>
      <c r="K841" s="152"/>
      <c r="L841" s="152"/>
      <c r="M841" s="152"/>
      <c r="N841" s="150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</row>
    <row r="842" customFormat="false" ht="11.25" hidden="false" customHeight="true" outlineLevel="0" collapsed="false">
      <c r="A842" s="89"/>
      <c r="B842" s="89"/>
      <c r="C842" s="89"/>
      <c r="D842" s="183"/>
      <c r="E842" s="152"/>
      <c r="F842" s="151"/>
      <c r="G842" s="151"/>
      <c r="H842" s="151"/>
      <c r="I842" s="151"/>
      <c r="J842" s="152"/>
      <c r="K842" s="152"/>
      <c r="L842" s="152"/>
      <c r="M842" s="152"/>
      <c r="N842" s="150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</row>
    <row r="843" customFormat="false" ht="11.25" hidden="false" customHeight="true" outlineLevel="0" collapsed="false">
      <c r="A843" s="89"/>
      <c r="B843" s="89"/>
      <c r="C843" s="89"/>
      <c r="D843" s="183"/>
      <c r="E843" s="152"/>
      <c r="F843" s="151"/>
      <c r="G843" s="151"/>
      <c r="H843" s="151"/>
      <c r="I843" s="151"/>
      <c r="J843" s="152"/>
      <c r="K843" s="152"/>
      <c r="L843" s="152"/>
      <c r="M843" s="152"/>
      <c r="N843" s="150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</row>
    <row r="844" customFormat="false" ht="11.25" hidden="false" customHeight="true" outlineLevel="0" collapsed="false">
      <c r="A844" s="89"/>
      <c r="B844" s="89"/>
      <c r="C844" s="89"/>
      <c r="D844" s="183"/>
      <c r="E844" s="152"/>
      <c r="F844" s="151"/>
      <c r="G844" s="151"/>
      <c r="H844" s="151"/>
      <c r="I844" s="151"/>
      <c r="J844" s="152"/>
      <c r="K844" s="152"/>
      <c r="L844" s="152"/>
      <c r="M844" s="152"/>
      <c r="N844" s="150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</row>
    <row r="845" customFormat="false" ht="11.25" hidden="false" customHeight="true" outlineLevel="0" collapsed="false">
      <c r="A845" s="89"/>
      <c r="B845" s="89"/>
      <c r="C845" s="89"/>
      <c r="D845" s="183"/>
      <c r="E845" s="152"/>
      <c r="F845" s="151"/>
      <c r="G845" s="151"/>
      <c r="H845" s="151"/>
      <c r="I845" s="151"/>
      <c r="J845" s="152"/>
      <c r="K845" s="152"/>
      <c r="L845" s="152"/>
      <c r="M845" s="152"/>
      <c r="N845" s="150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</row>
    <row r="846" customFormat="false" ht="11.25" hidden="false" customHeight="true" outlineLevel="0" collapsed="false">
      <c r="A846" s="89"/>
      <c r="B846" s="89"/>
      <c r="C846" s="89"/>
      <c r="D846" s="183"/>
      <c r="E846" s="152"/>
      <c r="F846" s="151"/>
      <c r="G846" s="151"/>
      <c r="H846" s="151"/>
      <c r="I846" s="151"/>
      <c r="J846" s="152"/>
      <c r="K846" s="152"/>
      <c r="L846" s="152"/>
      <c r="M846" s="152"/>
      <c r="N846" s="150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</row>
    <row r="847" customFormat="false" ht="11.25" hidden="false" customHeight="true" outlineLevel="0" collapsed="false">
      <c r="A847" s="89"/>
      <c r="B847" s="89"/>
      <c r="C847" s="89"/>
      <c r="D847" s="183"/>
      <c r="E847" s="152"/>
      <c r="F847" s="151"/>
      <c r="G847" s="151"/>
      <c r="H847" s="151"/>
      <c r="I847" s="151"/>
      <c r="J847" s="152"/>
      <c r="K847" s="152"/>
      <c r="L847" s="152"/>
      <c r="M847" s="152"/>
      <c r="N847" s="150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</row>
    <row r="848" customFormat="false" ht="11.25" hidden="false" customHeight="true" outlineLevel="0" collapsed="false">
      <c r="A848" s="89"/>
      <c r="B848" s="89"/>
      <c r="C848" s="89"/>
      <c r="D848" s="183"/>
      <c r="E848" s="152"/>
      <c r="F848" s="151"/>
      <c r="G848" s="151"/>
      <c r="H848" s="151"/>
      <c r="I848" s="151"/>
      <c r="J848" s="152"/>
      <c r="K848" s="152"/>
      <c r="L848" s="152"/>
      <c r="M848" s="152"/>
      <c r="N848" s="150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</row>
    <row r="849" customFormat="false" ht="11.25" hidden="false" customHeight="true" outlineLevel="0" collapsed="false">
      <c r="A849" s="89"/>
      <c r="B849" s="89"/>
      <c r="C849" s="89"/>
      <c r="D849" s="183"/>
      <c r="E849" s="152"/>
      <c r="F849" s="151"/>
      <c r="G849" s="151"/>
      <c r="H849" s="151"/>
      <c r="I849" s="151"/>
      <c r="J849" s="152"/>
      <c r="K849" s="152"/>
      <c r="L849" s="152"/>
      <c r="M849" s="152"/>
      <c r="N849" s="150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</row>
    <row r="850" customFormat="false" ht="11.25" hidden="false" customHeight="true" outlineLevel="0" collapsed="false">
      <c r="A850" s="89"/>
      <c r="B850" s="89"/>
      <c r="C850" s="89"/>
      <c r="D850" s="183"/>
      <c r="E850" s="152"/>
      <c r="F850" s="151"/>
      <c r="G850" s="151"/>
      <c r="H850" s="151"/>
      <c r="I850" s="151"/>
      <c r="J850" s="152"/>
      <c r="K850" s="152"/>
      <c r="L850" s="152"/>
      <c r="M850" s="152"/>
      <c r="N850" s="150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</row>
    <row r="851" customFormat="false" ht="11.25" hidden="false" customHeight="true" outlineLevel="0" collapsed="false">
      <c r="A851" s="89"/>
      <c r="B851" s="89"/>
      <c r="C851" s="89"/>
      <c r="D851" s="183"/>
      <c r="E851" s="152"/>
      <c r="F851" s="151"/>
      <c r="G851" s="151"/>
      <c r="H851" s="151"/>
      <c r="I851" s="151"/>
      <c r="J851" s="152"/>
      <c r="K851" s="152"/>
      <c r="L851" s="152"/>
      <c r="M851" s="152"/>
      <c r="N851" s="150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</row>
    <row r="852" customFormat="false" ht="11.25" hidden="false" customHeight="true" outlineLevel="0" collapsed="false">
      <c r="A852" s="89"/>
      <c r="B852" s="89"/>
      <c r="C852" s="89"/>
      <c r="D852" s="183"/>
      <c r="E852" s="152"/>
      <c r="F852" s="151"/>
      <c r="G852" s="151"/>
      <c r="H852" s="151"/>
      <c r="I852" s="151"/>
      <c r="J852" s="152"/>
      <c r="K852" s="152"/>
      <c r="L852" s="152"/>
      <c r="M852" s="152"/>
      <c r="N852" s="150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</row>
    <row r="853" customFormat="false" ht="11.25" hidden="false" customHeight="true" outlineLevel="0" collapsed="false">
      <c r="A853" s="89"/>
      <c r="B853" s="89"/>
      <c r="C853" s="89"/>
      <c r="D853" s="183"/>
      <c r="E853" s="152"/>
      <c r="F853" s="151"/>
      <c r="G853" s="151"/>
      <c r="H853" s="151"/>
      <c r="I853" s="151"/>
      <c r="J853" s="152"/>
      <c r="K853" s="152"/>
      <c r="L853" s="152"/>
      <c r="M853" s="152"/>
      <c r="N853" s="150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</row>
    <row r="854" customFormat="false" ht="11.25" hidden="false" customHeight="true" outlineLevel="0" collapsed="false">
      <c r="A854" s="89"/>
      <c r="B854" s="89"/>
      <c r="C854" s="89"/>
      <c r="D854" s="183"/>
      <c r="E854" s="152"/>
      <c r="F854" s="151"/>
      <c r="G854" s="151"/>
      <c r="H854" s="151"/>
      <c r="I854" s="151"/>
      <c r="J854" s="152"/>
      <c r="K854" s="152"/>
      <c r="L854" s="152"/>
      <c r="M854" s="152"/>
      <c r="N854" s="150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</row>
    <row r="855" customFormat="false" ht="11.25" hidden="false" customHeight="true" outlineLevel="0" collapsed="false">
      <c r="A855" s="89"/>
      <c r="B855" s="89"/>
      <c r="C855" s="89"/>
      <c r="D855" s="183"/>
      <c r="E855" s="152"/>
      <c r="F855" s="151"/>
      <c r="G855" s="151"/>
      <c r="H855" s="151"/>
      <c r="I855" s="151"/>
      <c r="J855" s="152"/>
      <c r="K855" s="152"/>
      <c r="L855" s="152"/>
      <c r="M855" s="152"/>
      <c r="N855" s="150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</row>
    <row r="856" customFormat="false" ht="11.25" hidden="false" customHeight="true" outlineLevel="0" collapsed="false">
      <c r="A856" s="89"/>
      <c r="B856" s="89"/>
      <c r="C856" s="89"/>
      <c r="D856" s="183"/>
      <c r="E856" s="152"/>
      <c r="F856" s="151"/>
      <c r="G856" s="151"/>
      <c r="H856" s="151"/>
      <c r="I856" s="151"/>
      <c r="J856" s="152"/>
      <c r="K856" s="152"/>
      <c r="L856" s="152"/>
      <c r="M856" s="152"/>
      <c r="N856" s="150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</row>
    <row r="857" customFormat="false" ht="11.25" hidden="false" customHeight="true" outlineLevel="0" collapsed="false">
      <c r="A857" s="89"/>
      <c r="B857" s="89"/>
      <c r="C857" s="89"/>
      <c r="D857" s="183"/>
      <c r="E857" s="152"/>
      <c r="F857" s="151"/>
      <c r="G857" s="151"/>
      <c r="H857" s="151"/>
      <c r="I857" s="151"/>
      <c r="J857" s="152"/>
      <c r="K857" s="152"/>
      <c r="L857" s="152"/>
      <c r="M857" s="152"/>
      <c r="N857" s="150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</row>
    <row r="858" customFormat="false" ht="11.25" hidden="false" customHeight="true" outlineLevel="0" collapsed="false">
      <c r="A858" s="89"/>
      <c r="B858" s="89"/>
      <c r="C858" s="89"/>
      <c r="D858" s="183"/>
      <c r="E858" s="152"/>
      <c r="F858" s="151"/>
      <c r="G858" s="151"/>
      <c r="H858" s="151"/>
      <c r="I858" s="151"/>
      <c r="J858" s="152"/>
      <c r="K858" s="152"/>
      <c r="L858" s="152"/>
      <c r="M858" s="152"/>
      <c r="N858" s="150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</row>
    <row r="859" customFormat="false" ht="11.25" hidden="false" customHeight="true" outlineLevel="0" collapsed="false">
      <c r="A859" s="89"/>
      <c r="B859" s="89"/>
      <c r="C859" s="89"/>
      <c r="D859" s="183"/>
      <c r="E859" s="152"/>
      <c r="F859" s="151"/>
      <c r="G859" s="151"/>
      <c r="H859" s="151"/>
      <c r="I859" s="151"/>
      <c r="J859" s="152"/>
      <c r="K859" s="152"/>
      <c r="L859" s="152"/>
      <c r="M859" s="152"/>
      <c r="N859" s="150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</row>
    <row r="860" customFormat="false" ht="11.25" hidden="false" customHeight="true" outlineLevel="0" collapsed="false">
      <c r="A860" s="89"/>
      <c r="B860" s="89"/>
      <c r="C860" s="89"/>
      <c r="D860" s="183"/>
      <c r="E860" s="152"/>
      <c r="F860" s="151"/>
      <c r="G860" s="151"/>
      <c r="H860" s="151"/>
      <c r="I860" s="151"/>
      <c r="J860" s="152"/>
      <c r="K860" s="152"/>
      <c r="L860" s="152"/>
      <c r="M860" s="152"/>
      <c r="N860" s="150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</row>
    <row r="861" customFormat="false" ht="11.25" hidden="false" customHeight="true" outlineLevel="0" collapsed="false">
      <c r="A861" s="89"/>
      <c r="B861" s="89"/>
      <c r="C861" s="89"/>
      <c r="D861" s="183"/>
      <c r="E861" s="152"/>
      <c r="F861" s="151"/>
      <c r="G861" s="151"/>
      <c r="H861" s="151"/>
      <c r="I861" s="151"/>
      <c r="J861" s="152"/>
      <c r="K861" s="152"/>
      <c r="L861" s="152"/>
      <c r="M861" s="152"/>
      <c r="N861" s="150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</row>
    <row r="862" customFormat="false" ht="11.25" hidden="false" customHeight="true" outlineLevel="0" collapsed="false">
      <c r="A862" s="89"/>
      <c r="B862" s="89"/>
      <c r="C862" s="89"/>
      <c r="D862" s="183"/>
      <c r="E862" s="152"/>
      <c r="F862" s="151"/>
      <c r="G862" s="151"/>
      <c r="H862" s="151"/>
      <c r="I862" s="151"/>
      <c r="J862" s="152"/>
      <c r="K862" s="152"/>
      <c r="L862" s="152"/>
      <c r="M862" s="152"/>
      <c r="N862" s="150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</row>
    <row r="863" customFormat="false" ht="11.25" hidden="false" customHeight="true" outlineLevel="0" collapsed="false">
      <c r="A863" s="89"/>
      <c r="B863" s="89"/>
      <c r="C863" s="89"/>
      <c r="D863" s="183"/>
      <c r="E863" s="152"/>
      <c r="F863" s="151"/>
      <c r="G863" s="151"/>
      <c r="H863" s="151"/>
      <c r="I863" s="151"/>
      <c r="J863" s="152"/>
      <c r="K863" s="152"/>
      <c r="L863" s="152"/>
      <c r="M863" s="152"/>
      <c r="N863" s="150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</row>
    <row r="864" customFormat="false" ht="11.25" hidden="false" customHeight="true" outlineLevel="0" collapsed="false">
      <c r="A864" s="89"/>
      <c r="B864" s="89"/>
      <c r="C864" s="89"/>
      <c r="D864" s="183"/>
      <c r="E864" s="152"/>
      <c r="F864" s="151"/>
      <c r="G864" s="151"/>
      <c r="H864" s="151"/>
      <c r="I864" s="151"/>
      <c r="J864" s="152"/>
      <c r="K864" s="152"/>
      <c r="L864" s="152"/>
      <c r="M864" s="152"/>
      <c r="N864" s="150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</row>
    <row r="865" customFormat="false" ht="11.25" hidden="false" customHeight="true" outlineLevel="0" collapsed="false">
      <c r="A865" s="89"/>
      <c r="B865" s="89"/>
      <c r="C865" s="89"/>
      <c r="D865" s="183"/>
      <c r="E865" s="152"/>
      <c r="F865" s="151"/>
      <c r="G865" s="151"/>
      <c r="H865" s="151"/>
      <c r="I865" s="151"/>
      <c r="J865" s="152"/>
      <c r="K865" s="152"/>
      <c r="L865" s="152"/>
      <c r="M865" s="152"/>
      <c r="N865" s="150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</row>
    <row r="866" customFormat="false" ht="11.25" hidden="false" customHeight="true" outlineLevel="0" collapsed="false">
      <c r="A866" s="89"/>
      <c r="B866" s="89"/>
      <c r="C866" s="89"/>
      <c r="D866" s="183"/>
      <c r="E866" s="152"/>
      <c r="F866" s="151"/>
      <c r="G866" s="151"/>
      <c r="H866" s="151"/>
      <c r="I866" s="151"/>
      <c r="J866" s="152"/>
      <c r="K866" s="152"/>
      <c r="L866" s="152"/>
      <c r="M866" s="152"/>
      <c r="N866" s="150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</row>
    <row r="867" customFormat="false" ht="11.25" hidden="false" customHeight="true" outlineLevel="0" collapsed="false">
      <c r="A867" s="89"/>
      <c r="B867" s="89"/>
      <c r="C867" s="89"/>
      <c r="D867" s="183"/>
      <c r="E867" s="152"/>
      <c r="F867" s="151"/>
      <c r="G867" s="151"/>
      <c r="H867" s="151"/>
      <c r="I867" s="151"/>
      <c r="J867" s="152"/>
      <c r="K867" s="152"/>
      <c r="L867" s="152"/>
      <c r="M867" s="152"/>
      <c r="N867" s="150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</row>
    <row r="868" customFormat="false" ht="11.25" hidden="false" customHeight="true" outlineLevel="0" collapsed="false">
      <c r="A868" s="89"/>
      <c r="B868" s="89"/>
      <c r="C868" s="89"/>
      <c r="D868" s="183"/>
      <c r="E868" s="152"/>
      <c r="F868" s="151"/>
      <c r="G868" s="151"/>
      <c r="H868" s="151"/>
      <c r="I868" s="151"/>
      <c r="J868" s="152"/>
      <c r="K868" s="152"/>
      <c r="L868" s="152"/>
      <c r="M868" s="152"/>
      <c r="N868" s="150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</row>
    <row r="869" customFormat="false" ht="11.25" hidden="false" customHeight="true" outlineLevel="0" collapsed="false">
      <c r="A869" s="89"/>
      <c r="B869" s="89"/>
      <c r="C869" s="89"/>
      <c r="D869" s="183"/>
      <c r="E869" s="152"/>
      <c r="F869" s="151"/>
      <c r="G869" s="151"/>
      <c r="H869" s="151"/>
      <c r="I869" s="151"/>
      <c r="J869" s="152"/>
      <c r="K869" s="152"/>
      <c r="L869" s="152"/>
      <c r="M869" s="152"/>
      <c r="N869" s="150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</row>
    <row r="870" customFormat="false" ht="11.25" hidden="false" customHeight="true" outlineLevel="0" collapsed="false">
      <c r="A870" s="89"/>
      <c r="B870" s="89"/>
      <c r="C870" s="89"/>
      <c r="D870" s="183"/>
      <c r="E870" s="152"/>
      <c r="F870" s="151"/>
      <c r="G870" s="151"/>
      <c r="H870" s="151"/>
      <c r="I870" s="151"/>
      <c r="J870" s="152"/>
      <c r="K870" s="152"/>
      <c r="L870" s="152"/>
      <c r="M870" s="152"/>
      <c r="N870" s="150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</row>
    <row r="871" customFormat="false" ht="11.25" hidden="false" customHeight="true" outlineLevel="0" collapsed="false">
      <c r="A871" s="89"/>
      <c r="B871" s="89"/>
      <c r="C871" s="89"/>
      <c r="D871" s="183"/>
      <c r="E871" s="152"/>
      <c r="F871" s="151"/>
      <c r="G871" s="151"/>
      <c r="H871" s="151"/>
      <c r="I871" s="151"/>
      <c r="J871" s="152"/>
      <c r="K871" s="152"/>
      <c r="L871" s="152"/>
      <c r="M871" s="152"/>
      <c r="N871" s="150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</row>
    <row r="872" customFormat="false" ht="11.25" hidden="false" customHeight="true" outlineLevel="0" collapsed="false">
      <c r="A872" s="89"/>
      <c r="B872" s="89"/>
      <c r="C872" s="89"/>
      <c r="D872" s="183"/>
      <c r="E872" s="152"/>
      <c r="F872" s="151"/>
      <c r="G872" s="151"/>
      <c r="H872" s="151"/>
      <c r="I872" s="151"/>
      <c r="J872" s="152"/>
      <c r="K872" s="152"/>
      <c r="L872" s="152"/>
      <c r="M872" s="152"/>
      <c r="N872" s="150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</row>
    <row r="873" customFormat="false" ht="11.25" hidden="false" customHeight="true" outlineLevel="0" collapsed="false">
      <c r="A873" s="89"/>
      <c r="B873" s="89"/>
      <c r="C873" s="89"/>
      <c r="D873" s="183"/>
      <c r="E873" s="152"/>
      <c r="F873" s="151"/>
      <c r="G873" s="151"/>
      <c r="H873" s="151"/>
      <c r="I873" s="151"/>
      <c r="J873" s="152"/>
      <c r="K873" s="152"/>
      <c r="L873" s="152"/>
      <c r="M873" s="152"/>
      <c r="N873" s="150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</row>
    <row r="874" customFormat="false" ht="11.25" hidden="false" customHeight="true" outlineLevel="0" collapsed="false">
      <c r="A874" s="89"/>
      <c r="B874" s="89"/>
      <c r="C874" s="89"/>
      <c r="D874" s="183"/>
      <c r="E874" s="152"/>
      <c r="F874" s="151"/>
      <c r="G874" s="151"/>
      <c r="H874" s="151"/>
      <c r="I874" s="151"/>
      <c r="J874" s="152"/>
      <c r="K874" s="152"/>
      <c r="L874" s="152"/>
      <c r="M874" s="152"/>
      <c r="N874" s="150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</row>
    <row r="875" customFormat="false" ht="11.25" hidden="false" customHeight="true" outlineLevel="0" collapsed="false">
      <c r="A875" s="89"/>
      <c r="B875" s="89"/>
      <c r="C875" s="89"/>
      <c r="D875" s="183"/>
      <c r="E875" s="152"/>
      <c r="F875" s="151"/>
      <c r="G875" s="151"/>
      <c r="H875" s="151"/>
      <c r="I875" s="151"/>
      <c r="J875" s="152"/>
      <c r="K875" s="152"/>
      <c r="L875" s="152"/>
      <c r="M875" s="152"/>
      <c r="N875" s="150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</row>
    <row r="876" customFormat="false" ht="11.25" hidden="false" customHeight="true" outlineLevel="0" collapsed="false">
      <c r="A876" s="89"/>
      <c r="B876" s="89"/>
      <c r="C876" s="89"/>
      <c r="D876" s="183"/>
      <c r="E876" s="152"/>
      <c r="F876" s="151"/>
      <c r="G876" s="151"/>
      <c r="H876" s="151"/>
      <c r="I876" s="151"/>
      <c r="J876" s="152"/>
      <c r="K876" s="152"/>
      <c r="L876" s="152"/>
      <c r="M876" s="152"/>
      <c r="N876" s="150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</row>
    <row r="877" customFormat="false" ht="11.25" hidden="false" customHeight="true" outlineLevel="0" collapsed="false">
      <c r="A877" s="89"/>
      <c r="B877" s="89"/>
      <c r="C877" s="89"/>
      <c r="D877" s="183"/>
      <c r="E877" s="152"/>
      <c r="F877" s="151"/>
      <c r="G877" s="151"/>
      <c r="H877" s="151"/>
      <c r="I877" s="151"/>
      <c r="J877" s="152"/>
      <c r="K877" s="152"/>
      <c r="L877" s="152"/>
      <c r="M877" s="152"/>
      <c r="N877" s="150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</row>
    <row r="878" customFormat="false" ht="11.25" hidden="false" customHeight="true" outlineLevel="0" collapsed="false">
      <c r="A878" s="89"/>
      <c r="B878" s="89"/>
      <c r="C878" s="89"/>
      <c r="D878" s="183"/>
      <c r="E878" s="152"/>
      <c r="F878" s="151"/>
      <c r="G878" s="151"/>
      <c r="H878" s="151"/>
      <c r="I878" s="151"/>
      <c r="J878" s="152"/>
      <c r="K878" s="152"/>
      <c r="L878" s="152"/>
      <c r="M878" s="152"/>
      <c r="N878" s="150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</row>
    <row r="879" customFormat="false" ht="11.25" hidden="false" customHeight="true" outlineLevel="0" collapsed="false">
      <c r="A879" s="89"/>
      <c r="B879" s="89"/>
      <c r="C879" s="89"/>
      <c r="D879" s="183"/>
      <c r="E879" s="152"/>
      <c r="F879" s="151"/>
      <c r="G879" s="151"/>
      <c r="H879" s="151"/>
      <c r="I879" s="151"/>
      <c r="J879" s="152"/>
      <c r="K879" s="152"/>
      <c r="L879" s="152"/>
      <c r="M879" s="152"/>
      <c r="N879" s="150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</row>
    <row r="880" customFormat="false" ht="11.25" hidden="false" customHeight="true" outlineLevel="0" collapsed="false">
      <c r="A880" s="89"/>
      <c r="B880" s="89"/>
      <c r="C880" s="89"/>
      <c r="D880" s="183"/>
      <c r="E880" s="152"/>
      <c r="F880" s="151"/>
      <c r="G880" s="151"/>
      <c r="H880" s="151"/>
      <c r="I880" s="151"/>
      <c r="J880" s="152"/>
      <c r="K880" s="152"/>
      <c r="L880" s="152"/>
      <c r="M880" s="152"/>
      <c r="N880" s="150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</row>
    <row r="881" customFormat="false" ht="11.25" hidden="false" customHeight="true" outlineLevel="0" collapsed="false">
      <c r="A881" s="89"/>
      <c r="B881" s="89"/>
      <c r="C881" s="89"/>
      <c r="D881" s="183"/>
      <c r="E881" s="152"/>
      <c r="F881" s="151"/>
      <c r="G881" s="151"/>
      <c r="H881" s="151"/>
      <c r="I881" s="151"/>
      <c r="J881" s="152"/>
      <c r="K881" s="152"/>
      <c r="L881" s="152"/>
      <c r="M881" s="152"/>
      <c r="N881" s="150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</row>
    <row r="882" customFormat="false" ht="11.25" hidden="false" customHeight="true" outlineLevel="0" collapsed="false">
      <c r="A882" s="89"/>
      <c r="B882" s="89"/>
      <c r="C882" s="89"/>
      <c r="D882" s="183"/>
      <c r="E882" s="152"/>
      <c r="F882" s="151"/>
      <c r="G882" s="151"/>
      <c r="H882" s="151"/>
      <c r="I882" s="151"/>
      <c r="J882" s="152"/>
      <c r="K882" s="152"/>
      <c r="L882" s="152"/>
      <c r="M882" s="152"/>
      <c r="N882" s="150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</row>
    <row r="883" customFormat="false" ht="11.25" hidden="false" customHeight="true" outlineLevel="0" collapsed="false">
      <c r="A883" s="89"/>
      <c r="B883" s="89"/>
      <c r="C883" s="89"/>
      <c r="D883" s="183"/>
      <c r="E883" s="152"/>
      <c r="F883" s="151"/>
      <c r="G883" s="151"/>
      <c r="H883" s="151"/>
      <c r="I883" s="151"/>
      <c r="J883" s="152"/>
      <c r="K883" s="152"/>
      <c r="L883" s="152"/>
      <c r="M883" s="152"/>
      <c r="N883" s="150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</row>
    <row r="884" customFormat="false" ht="11.25" hidden="false" customHeight="true" outlineLevel="0" collapsed="false">
      <c r="A884" s="89"/>
      <c r="B884" s="89"/>
      <c r="C884" s="89"/>
      <c r="D884" s="183"/>
      <c r="E884" s="152"/>
      <c r="F884" s="151"/>
      <c r="G884" s="151"/>
      <c r="H884" s="151"/>
      <c r="I884" s="151"/>
      <c r="J884" s="152"/>
      <c r="K884" s="152"/>
      <c r="L884" s="152"/>
      <c r="M884" s="152"/>
      <c r="N884" s="150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</row>
    <row r="885" customFormat="false" ht="11.25" hidden="false" customHeight="true" outlineLevel="0" collapsed="false">
      <c r="A885" s="89"/>
      <c r="B885" s="89"/>
      <c r="C885" s="89"/>
      <c r="D885" s="183"/>
      <c r="E885" s="152"/>
      <c r="F885" s="151"/>
      <c r="G885" s="151"/>
      <c r="H885" s="151"/>
      <c r="I885" s="151"/>
      <c r="J885" s="152"/>
      <c r="K885" s="152"/>
      <c r="L885" s="152"/>
      <c r="M885" s="152"/>
      <c r="N885" s="150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</row>
    <row r="886" customFormat="false" ht="11.25" hidden="false" customHeight="true" outlineLevel="0" collapsed="false">
      <c r="A886" s="89"/>
      <c r="B886" s="89"/>
      <c r="C886" s="89"/>
      <c r="D886" s="183"/>
      <c r="E886" s="152"/>
      <c r="F886" s="151"/>
      <c r="G886" s="151"/>
      <c r="H886" s="151"/>
      <c r="I886" s="151"/>
      <c r="J886" s="152"/>
      <c r="K886" s="152"/>
      <c r="L886" s="152"/>
      <c r="M886" s="152"/>
      <c r="N886" s="150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</row>
    <row r="887" customFormat="false" ht="11.25" hidden="false" customHeight="true" outlineLevel="0" collapsed="false">
      <c r="A887" s="89"/>
      <c r="B887" s="89"/>
      <c r="C887" s="89"/>
      <c r="D887" s="183"/>
      <c r="E887" s="152"/>
      <c r="F887" s="151"/>
      <c r="G887" s="151"/>
      <c r="H887" s="151"/>
      <c r="I887" s="151"/>
      <c r="J887" s="152"/>
      <c r="K887" s="152"/>
      <c r="L887" s="152"/>
      <c r="M887" s="152"/>
      <c r="N887" s="150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</row>
    <row r="888" customFormat="false" ht="11.25" hidden="false" customHeight="true" outlineLevel="0" collapsed="false">
      <c r="A888" s="89"/>
      <c r="B888" s="89"/>
      <c r="C888" s="89"/>
      <c r="D888" s="183"/>
      <c r="E888" s="152"/>
      <c r="F888" s="151"/>
      <c r="G888" s="151"/>
      <c r="H888" s="151"/>
      <c r="I888" s="151"/>
      <c r="J888" s="152"/>
      <c r="K888" s="152"/>
      <c r="L888" s="152"/>
      <c r="M888" s="152"/>
      <c r="N888" s="150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</row>
    <row r="889" customFormat="false" ht="11.25" hidden="false" customHeight="true" outlineLevel="0" collapsed="false">
      <c r="A889" s="89"/>
      <c r="B889" s="89"/>
      <c r="C889" s="89"/>
      <c r="D889" s="183"/>
      <c r="E889" s="152"/>
      <c r="F889" s="151"/>
      <c r="G889" s="151"/>
      <c r="H889" s="151"/>
      <c r="I889" s="151"/>
      <c r="J889" s="152"/>
      <c r="K889" s="152"/>
      <c r="L889" s="152"/>
      <c r="M889" s="152"/>
      <c r="N889" s="150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</row>
    <row r="890" customFormat="false" ht="11.25" hidden="false" customHeight="true" outlineLevel="0" collapsed="false">
      <c r="A890" s="89"/>
      <c r="B890" s="89"/>
      <c r="C890" s="89"/>
      <c r="D890" s="183"/>
      <c r="E890" s="152"/>
      <c r="F890" s="151"/>
      <c r="G890" s="151"/>
      <c r="H890" s="151"/>
      <c r="I890" s="151"/>
      <c r="J890" s="152"/>
      <c r="K890" s="152"/>
      <c r="L890" s="152"/>
      <c r="M890" s="152"/>
      <c r="N890" s="150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</row>
    <row r="891" customFormat="false" ht="11.25" hidden="false" customHeight="true" outlineLevel="0" collapsed="false">
      <c r="A891" s="89"/>
      <c r="B891" s="89"/>
      <c r="C891" s="89"/>
      <c r="D891" s="183"/>
      <c r="E891" s="152"/>
      <c r="F891" s="151"/>
      <c r="G891" s="151"/>
      <c r="H891" s="151"/>
      <c r="I891" s="151"/>
      <c r="J891" s="152"/>
      <c r="K891" s="152"/>
      <c r="L891" s="152"/>
      <c r="M891" s="152"/>
      <c r="N891" s="150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</row>
    <row r="892" customFormat="false" ht="11.25" hidden="false" customHeight="true" outlineLevel="0" collapsed="false">
      <c r="A892" s="89"/>
      <c r="B892" s="89"/>
      <c r="C892" s="89"/>
      <c r="D892" s="183"/>
      <c r="E892" s="152"/>
      <c r="F892" s="151"/>
      <c r="G892" s="151"/>
      <c r="H892" s="151"/>
      <c r="I892" s="151"/>
      <c r="J892" s="152"/>
      <c r="K892" s="152"/>
      <c r="L892" s="152"/>
      <c r="M892" s="152"/>
      <c r="N892" s="150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</row>
    <row r="893" customFormat="false" ht="11.25" hidden="false" customHeight="true" outlineLevel="0" collapsed="false">
      <c r="A893" s="89"/>
      <c r="B893" s="89"/>
      <c r="C893" s="89"/>
      <c r="D893" s="183"/>
      <c r="E893" s="152"/>
      <c r="F893" s="151"/>
      <c r="G893" s="151"/>
      <c r="H893" s="151"/>
      <c r="I893" s="151"/>
      <c r="J893" s="152"/>
      <c r="K893" s="152"/>
      <c r="L893" s="152"/>
      <c r="M893" s="152"/>
      <c r="N893" s="150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</row>
    <row r="894" customFormat="false" ht="11.25" hidden="false" customHeight="true" outlineLevel="0" collapsed="false">
      <c r="A894" s="89"/>
      <c r="B894" s="89"/>
      <c r="C894" s="89"/>
      <c r="D894" s="183"/>
      <c r="E894" s="152"/>
      <c r="F894" s="151"/>
      <c r="G894" s="151"/>
      <c r="H894" s="151"/>
      <c r="I894" s="151"/>
      <c r="J894" s="152"/>
      <c r="K894" s="152"/>
      <c r="L894" s="152"/>
      <c r="M894" s="152"/>
      <c r="N894" s="150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</row>
    <row r="895" customFormat="false" ht="11.25" hidden="false" customHeight="true" outlineLevel="0" collapsed="false">
      <c r="A895" s="89"/>
      <c r="B895" s="89"/>
      <c r="C895" s="89"/>
      <c r="D895" s="183"/>
      <c r="E895" s="152"/>
      <c r="F895" s="151"/>
      <c r="G895" s="151"/>
      <c r="H895" s="151"/>
      <c r="I895" s="151"/>
      <c r="J895" s="152"/>
      <c r="K895" s="152"/>
      <c r="L895" s="152"/>
      <c r="M895" s="152"/>
      <c r="N895" s="150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</row>
    <row r="896" customFormat="false" ht="11.25" hidden="false" customHeight="true" outlineLevel="0" collapsed="false">
      <c r="A896" s="89"/>
      <c r="B896" s="89"/>
      <c r="C896" s="89"/>
      <c r="D896" s="183"/>
      <c r="E896" s="152"/>
      <c r="F896" s="151"/>
      <c r="G896" s="151"/>
      <c r="H896" s="151"/>
      <c r="I896" s="151"/>
      <c r="J896" s="152"/>
      <c r="K896" s="152"/>
      <c r="L896" s="152"/>
      <c r="M896" s="152"/>
      <c r="N896" s="150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</row>
    <row r="897" customFormat="false" ht="11.25" hidden="false" customHeight="true" outlineLevel="0" collapsed="false">
      <c r="A897" s="89"/>
      <c r="B897" s="89"/>
      <c r="C897" s="89"/>
      <c r="D897" s="183"/>
      <c r="E897" s="152"/>
      <c r="F897" s="151"/>
      <c r="G897" s="151"/>
      <c r="H897" s="151"/>
      <c r="I897" s="151"/>
      <c r="J897" s="152"/>
      <c r="K897" s="152"/>
      <c r="L897" s="152"/>
      <c r="M897" s="152"/>
      <c r="N897" s="150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</row>
    <row r="898" customFormat="false" ht="11.25" hidden="false" customHeight="true" outlineLevel="0" collapsed="false">
      <c r="A898" s="89"/>
      <c r="B898" s="89"/>
      <c r="C898" s="89"/>
      <c r="D898" s="183"/>
      <c r="E898" s="152"/>
      <c r="F898" s="151"/>
      <c r="G898" s="151"/>
      <c r="H898" s="151"/>
      <c r="I898" s="151"/>
      <c r="J898" s="152"/>
      <c r="K898" s="152"/>
      <c r="L898" s="152"/>
      <c r="M898" s="152"/>
      <c r="N898" s="150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</row>
    <row r="899" customFormat="false" ht="11.25" hidden="false" customHeight="true" outlineLevel="0" collapsed="false">
      <c r="A899" s="89"/>
      <c r="B899" s="89"/>
      <c r="C899" s="89"/>
      <c r="D899" s="183"/>
      <c r="E899" s="152"/>
      <c r="F899" s="151"/>
      <c r="G899" s="151"/>
      <c r="H899" s="151"/>
      <c r="I899" s="151"/>
      <c r="J899" s="152"/>
      <c r="K899" s="152"/>
      <c r="L899" s="152"/>
      <c r="M899" s="152"/>
      <c r="N899" s="150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</row>
    <row r="900" customFormat="false" ht="11.25" hidden="false" customHeight="true" outlineLevel="0" collapsed="false">
      <c r="A900" s="89"/>
      <c r="B900" s="89"/>
      <c r="C900" s="89"/>
      <c r="D900" s="183"/>
      <c r="E900" s="152"/>
      <c r="F900" s="151"/>
      <c r="G900" s="151"/>
      <c r="H900" s="151"/>
      <c r="I900" s="151"/>
      <c r="J900" s="152"/>
      <c r="K900" s="152"/>
      <c r="L900" s="152"/>
      <c r="M900" s="152"/>
      <c r="N900" s="150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</row>
    <row r="901" customFormat="false" ht="11.25" hidden="false" customHeight="true" outlineLevel="0" collapsed="false">
      <c r="A901" s="89"/>
      <c r="B901" s="89"/>
      <c r="C901" s="89"/>
      <c r="D901" s="183"/>
      <c r="E901" s="152"/>
      <c r="F901" s="151"/>
      <c r="G901" s="151"/>
      <c r="H901" s="151"/>
      <c r="I901" s="151"/>
      <c r="J901" s="152"/>
      <c r="K901" s="152"/>
      <c r="L901" s="152"/>
      <c r="M901" s="152"/>
      <c r="N901" s="150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</row>
    <row r="902" customFormat="false" ht="11.25" hidden="false" customHeight="true" outlineLevel="0" collapsed="false">
      <c r="A902" s="89"/>
      <c r="B902" s="89"/>
      <c r="C902" s="89"/>
      <c r="D902" s="183"/>
      <c r="E902" s="152"/>
      <c r="F902" s="151"/>
      <c r="G902" s="151"/>
      <c r="H902" s="151"/>
      <c r="I902" s="151"/>
      <c r="J902" s="152"/>
      <c r="K902" s="152"/>
      <c r="L902" s="152"/>
      <c r="M902" s="152"/>
      <c r="N902" s="150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</row>
    <row r="903" customFormat="false" ht="11.25" hidden="false" customHeight="true" outlineLevel="0" collapsed="false">
      <c r="A903" s="89"/>
      <c r="B903" s="89"/>
      <c r="C903" s="89"/>
      <c r="D903" s="183"/>
      <c r="E903" s="152"/>
      <c r="F903" s="151"/>
      <c r="G903" s="151"/>
      <c r="H903" s="151"/>
      <c r="I903" s="151"/>
      <c r="J903" s="152"/>
      <c r="K903" s="152"/>
      <c r="L903" s="152"/>
      <c r="M903" s="152"/>
      <c r="N903" s="150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</row>
    <row r="904" customFormat="false" ht="11.25" hidden="false" customHeight="true" outlineLevel="0" collapsed="false">
      <c r="A904" s="89"/>
      <c r="B904" s="89"/>
      <c r="C904" s="89"/>
      <c r="D904" s="183"/>
      <c r="E904" s="152"/>
      <c r="F904" s="151"/>
      <c r="G904" s="151"/>
      <c r="H904" s="151"/>
      <c r="I904" s="151"/>
      <c r="J904" s="152"/>
      <c r="K904" s="152"/>
      <c r="L904" s="152"/>
      <c r="M904" s="152"/>
      <c r="N904" s="150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</row>
    <row r="905" customFormat="false" ht="11.25" hidden="false" customHeight="true" outlineLevel="0" collapsed="false">
      <c r="A905" s="89"/>
      <c r="B905" s="89"/>
      <c r="C905" s="89"/>
      <c r="D905" s="183"/>
      <c r="E905" s="152"/>
      <c r="F905" s="151"/>
      <c r="G905" s="151"/>
      <c r="H905" s="151"/>
      <c r="I905" s="151"/>
      <c r="J905" s="152"/>
      <c r="K905" s="152"/>
      <c r="L905" s="152"/>
      <c r="M905" s="152"/>
      <c r="N905" s="150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</row>
    <row r="906" customFormat="false" ht="11.25" hidden="false" customHeight="true" outlineLevel="0" collapsed="false">
      <c r="A906" s="89"/>
      <c r="B906" s="89"/>
      <c r="C906" s="89"/>
      <c r="D906" s="183"/>
      <c r="E906" s="152"/>
      <c r="F906" s="151"/>
      <c r="G906" s="151"/>
      <c r="H906" s="151"/>
      <c r="I906" s="151"/>
      <c r="J906" s="152"/>
      <c r="K906" s="152"/>
      <c r="L906" s="152"/>
      <c r="M906" s="152"/>
      <c r="N906" s="150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</row>
    <row r="907" customFormat="false" ht="11.25" hidden="false" customHeight="true" outlineLevel="0" collapsed="false">
      <c r="A907" s="89"/>
      <c r="B907" s="89"/>
      <c r="C907" s="89"/>
      <c r="D907" s="183"/>
      <c r="E907" s="152"/>
      <c r="F907" s="151"/>
      <c r="G907" s="151"/>
      <c r="H907" s="151"/>
      <c r="I907" s="151"/>
      <c r="J907" s="152"/>
      <c r="K907" s="152"/>
      <c r="L907" s="152"/>
      <c r="M907" s="152"/>
      <c r="N907" s="150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</row>
    <row r="908" customFormat="false" ht="11.25" hidden="false" customHeight="true" outlineLevel="0" collapsed="false">
      <c r="A908" s="89"/>
      <c r="B908" s="89"/>
      <c r="C908" s="89"/>
      <c r="D908" s="183"/>
      <c r="E908" s="152"/>
      <c r="F908" s="151"/>
      <c r="G908" s="151"/>
      <c r="H908" s="151"/>
      <c r="I908" s="151"/>
      <c r="J908" s="152"/>
      <c r="K908" s="152"/>
      <c r="L908" s="152"/>
      <c r="M908" s="152"/>
      <c r="N908" s="150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</row>
    <row r="909" customFormat="false" ht="11.25" hidden="false" customHeight="true" outlineLevel="0" collapsed="false">
      <c r="A909" s="89"/>
      <c r="B909" s="89"/>
      <c r="C909" s="89"/>
      <c r="D909" s="183"/>
      <c r="E909" s="152"/>
      <c r="F909" s="151"/>
      <c r="G909" s="151"/>
      <c r="H909" s="151"/>
      <c r="I909" s="151"/>
      <c r="J909" s="152"/>
      <c r="K909" s="152"/>
      <c r="L909" s="152"/>
      <c r="M909" s="152"/>
      <c r="N909" s="150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</row>
    <row r="910" customFormat="false" ht="11.25" hidden="false" customHeight="true" outlineLevel="0" collapsed="false">
      <c r="A910" s="89"/>
      <c r="B910" s="89"/>
      <c r="C910" s="89"/>
      <c r="D910" s="183"/>
      <c r="E910" s="152"/>
      <c r="F910" s="151"/>
      <c r="G910" s="151"/>
      <c r="H910" s="151"/>
      <c r="I910" s="151"/>
      <c r="J910" s="152"/>
      <c r="K910" s="152"/>
      <c r="L910" s="152"/>
      <c r="M910" s="152"/>
      <c r="N910" s="150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</row>
    <row r="911" customFormat="false" ht="11.25" hidden="false" customHeight="true" outlineLevel="0" collapsed="false">
      <c r="A911" s="89"/>
      <c r="B911" s="89"/>
      <c r="C911" s="89"/>
      <c r="D911" s="183"/>
      <c r="E911" s="152"/>
      <c r="F911" s="151"/>
      <c r="G911" s="151"/>
      <c r="H911" s="151"/>
      <c r="I911" s="151"/>
      <c r="J911" s="152"/>
      <c r="K911" s="152"/>
      <c r="L911" s="152"/>
      <c r="M911" s="152"/>
      <c r="N911" s="150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</row>
    <row r="912" customFormat="false" ht="11.25" hidden="false" customHeight="true" outlineLevel="0" collapsed="false">
      <c r="A912" s="89"/>
      <c r="B912" s="89"/>
      <c r="C912" s="89"/>
      <c r="D912" s="183"/>
      <c r="E912" s="152"/>
      <c r="F912" s="151"/>
      <c r="G912" s="151"/>
      <c r="H912" s="151"/>
      <c r="I912" s="151"/>
      <c r="J912" s="152"/>
      <c r="K912" s="152"/>
      <c r="L912" s="152"/>
      <c r="M912" s="152"/>
      <c r="N912" s="150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</row>
    <row r="913" customFormat="false" ht="11.25" hidden="false" customHeight="true" outlineLevel="0" collapsed="false">
      <c r="A913" s="89"/>
      <c r="B913" s="89"/>
      <c r="C913" s="89"/>
      <c r="D913" s="183"/>
      <c r="E913" s="152"/>
      <c r="F913" s="151"/>
      <c r="G913" s="151"/>
      <c r="H913" s="151"/>
      <c r="I913" s="151"/>
      <c r="J913" s="152"/>
      <c r="K913" s="152"/>
      <c r="L913" s="152"/>
      <c r="M913" s="152"/>
      <c r="N913" s="150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</row>
    <row r="914" customFormat="false" ht="11.25" hidden="false" customHeight="true" outlineLevel="0" collapsed="false">
      <c r="A914" s="89"/>
      <c r="B914" s="89"/>
      <c r="C914" s="89"/>
      <c r="D914" s="183"/>
      <c r="E914" s="152"/>
      <c r="F914" s="151"/>
      <c r="G914" s="151"/>
      <c r="H914" s="151"/>
      <c r="I914" s="151"/>
      <c r="J914" s="152"/>
      <c r="K914" s="152"/>
      <c r="L914" s="152"/>
      <c r="M914" s="152"/>
      <c r="N914" s="150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</row>
    <row r="915" customFormat="false" ht="11.25" hidden="false" customHeight="true" outlineLevel="0" collapsed="false">
      <c r="A915" s="89"/>
      <c r="B915" s="89"/>
      <c r="C915" s="89"/>
      <c r="D915" s="183"/>
      <c r="E915" s="152"/>
      <c r="F915" s="151"/>
      <c r="G915" s="151"/>
      <c r="H915" s="151"/>
      <c r="I915" s="151"/>
      <c r="J915" s="152"/>
      <c r="K915" s="152"/>
      <c r="L915" s="152"/>
      <c r="M915" s="152"/>
      <c r="N915" s="150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</row>
    <row r="916" customFormat="false" ht="11.25" hidden="false" customHeight="true" outlineLevel="0" collapsed="false">
      <c r="A916" s="89"/>
      <c r="B916" s="89"/>
      <c r="C916" s="89"/>
      <c r="D916" s="183"/>
      <c r="E916" s="152"/>
      <c r="F916" s="151"/>
      <c r="G916" s="151"/>
      <c r="H916" s="151"/>
      <c r="I916" s="151"/>
      <c r="J916" s="152"/>
      <c r="K916" s="152"/>
      <c r="L916" s="152"/>
      <c r="M916" s="152"/>
      <c r="N916" s="150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</row>
    <row r="917" customFormat="false" ht="11.25" hidden="false" customHeight="true" outlineLevel="0" collapsed="false">
      <c r="A917" s="89"/>
      <c r="B917" s="89"/>
      <c r="C917" s="89"/>
      <c r="D917" s="183"/>
      <c r="E917" s="152"/>
      <c r="F917" s="151"/>
      <c r="G917" s="151"/>
      <c r="H917" s="151"/>
      <c r="I917" s="151"/>
      <c r="J917" s="152"/>
      <c r="K917" s="152"/>
      <c r="L917" s="152"/>
      <c r="M917" s="152"/>
      <c r="N917" s="150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</row>
    <row r="918" customFormat="false" ht="11.25" hidden="false" customHeight="true" outlineLevel="0" collapsed="false">
      <c r="A918" s="89"/>
      <c r="B918" s="89"/>
      <c r="C918" s="89"/>
      <c r="D918" s="183"/>
      <c r="E918" s="152"/>
      <c r="F918" s="151"/>
      <c r="G918" s="151"/>
      <c r="H918" s="151"/>
      <c r="I918" s="151"/>
      <c r="J918" s="152"/>
      <c r="K918" s="152"/>
      <c r="L918" s="152"/>
      <c r="M918" s="152"/>
      <c r="N918" s="150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</row>
    <row r="919" customFormat="false" ht="11.25" hidden="false" customHeight="true" outlineLevel="0" collapsed="false">
      <c r="A919" s="89"/>
      <c r="B919" s="89"/>
      <c r="C919" s="89"/>
      <c r="D919" s="183"/>
      <c r="E919" s="152"/>
      <c r="F919" s="151"/>
      <c r="G919" s="151"/>
      <c r="H919" s="151"/>
      <c r="I919" s="151"/>
      <c r="J919" s="152"/>
      <c r="K919" s="152"/>
      <c r="L919" s="152"/>
      <c r="M919" s="152"/>
      <c r="N919" s="150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</row>
    <row r="920" customFormat="false" ht="11.25" hidden="false" customHeight="true" outlineLevel="0" collapsed="false">
      <c r="A920" s="89"/>
      <c r="B920" s="89"/>
      <c r="C920" s="89"/>
      <c r="D920" s="183"/>
      <c r="E920" s="152"/>
      <c r="F920" s="151"/>
      <c r="G920" s="151"/>
      <c r="H920" s="151"/>
      <c r="I920" s="151"/>
      <c r="J920" s="152"/>
      <c r="K920" s="152"/>
      <c r="L920" s="152"/>
      <c r="M920" s="152"/>
      <c r="N920" s="150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</row>
    <row r="921" customFormat="false" ht="11.25" hidden="false" customHeight="true" outlineLevel="0" collapsed="false">
      <c r="A921" s="89"/>
      <c r="B921" s="89"/>
      <c r="C921" s="89"/>
      <c r="D921" s="183"/>
      <c r="E921" s="152"/>
      <c r="F921" s="151"/>
      <c r="G921" s="151"/>
      <c r="H921" s="151"/>
      <c r="I921" s="151"/>
      <c r="J921" s="152"/>
      <c r="K921" s="152"/>
      <c r="L921" s="152"/>
      <c r="M921" s="152"/>
      <c r="N921" s="150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</row>
    <row r="922" customFormat="false" ht="11.25" hidden="false" customHeight="true" outlineLevel="0" collapsed="false">
      <c r="A922" s="89"/>
      <c r="B922" s="89"/>
      <c r="C922" s="89"/>
      <c r="D922" s="183"/>
      <c r="E922" s="152"/>
      <c r="F922" s="151"/>
      <c r="G922" s="151"/>
      <c r="H922" s="151"/>
      <c r="I922" s="151"/>
      <c r="J922" s="152"/>
      <c r="K922" s="152"/>
      <c r="L922" s="152"/>
      <c r="M922" s="152"/>
      <c r="N922" s="150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</row>
    <row r="923" customFormat="false" ht="11.25" hidden="false" customHeight="true" outlineLevel="0" collapsed="false">
      <c r="A923" s="89"/>
      <c r="B923" s="89"/>
      <c r="C923" s="89"/>
      <c r="D923" s="183"/>
      <c r="E923" s="152"/>
      <c r="F923" s="151"/>
      <c r="G923" s="151"/>
      <c r="H923" s="151"/>
      <c r="I923" s="151"/>
      <c r="J923" s="152"/>
      <c r="K923" s="152"/>
      <c r="L923" s="152"/>
      <c r="M923" s="152"/>
      <c r="N923" s="150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</row>
    <row r="924" customFormat="false" ht="11.25" hidden="false" customHeight="true" outlineLevel="0" collapsed="false">
      <c r="A924" s="89"/>
      <c r="B924" s="89"/>
      <c r="C924" s="89"/>
      <c r="D924" s="183"/>
      <c r="E924" s="152"/>
      <c r="F924" s="151"/>
      <c r="G924" s="151"/>
      <c r="H924" s="151"/>
      <c r="I924" s="151"/>
      <c r="J924" s="152"/>
      <c r="K924" s="152"/>
      <c r="L924" s="152"/>
      <c r="M924" s="152"/>
      <c r="N924" s="150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</row>
    <row r="925" customFormat="false" ht="11.25" hidden="false" customHeight="true" outlineLevel="0" collapsed="false">
      <c r="A925" s="89"/>
      <c r="B925" s="89"/>
      <c r="C925" s="89"/>
      <c r="D925" s="183"/>
      <c r="E925" s="152"/>
      <c r="F925" s="151"/>
      <c r="G925" s="151"/>
      <c r="H925" s="151"/>
      <c r="I925" s="151"/>
      <c r="J925" s="152"/>
      <c r="K925" s="152"/>
      <c r="L925" s="152"/>
      <c r="M925" s="152"/>
      <c r="N925" s="150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</row>
    <row r="926" customFormat="false" ht="11.25" hidden="false" customHeight="true" outlineLevel="0" collapsed="false">
      <c r="A926" s="89"/>
      <c r="B926" s="89"/>
      <c r="C926" s="89"/>
      <c r="D926" s="183"/>
      <c r="E926" s="152"/>
      <c r="F926" s="151"/>
      <c r="G926" s="151"/>
      <c r="H926" s="151"/>
      <c r="I926" s="151"/>
      <c r="J926" s="152"/>
      <c r="K926" s="152"/>
      <c r="L926" s="152"/>
      <c r="M926" s="152"/>
      <c r="N926" s="150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</row>
    <row r="927" customFormat="false" ht="11.25" hidden="false" customHeight="true" outlineLevel="0" collapsed="false">
      <c r="A927" s="89"/>
      <c r="B927" s="89"/>
      <c r="C927" s="89"/>
      <c r="D927" s="183"/>
      <c r="E927" s="152"/>
      <c r="F927" s="151"/>
      <c r="G927" s="151"/>
      <c r="H927" s="151"/>
      <c r="I927" s="151"/>
      <c r="J927" s="152"/>
      <c r="K927" s="152"/>
      <c r="L927" s="152"/>
      <c r="M927" s="152"/>
      <c r="N927" s="150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</row>
    <row r="928" customFormat="false" ht="11.25" hidden="false" customHeight="true" outlineLevel="0" collapsed="false">
      <c r="A928" s="89"/>
      <c r="B928" s="89"/>
      <c r="C928" s="89"/>
      <c r="D928" s="183"/>
      <c r="E928" s="152"/>
      <c r="F928" s="151"/>
      <c r="G928" s="151"/>
      <c r="H928" s="151"/>
      <c r="I928" s="151"/>
      <c r="J928" s="152"/>
      <c r="K928" s="152"/>
      <c r="L928" s="152"/>
      <c r="M928" s="152"/>
      <c r="N928" s="150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</row>
    <row r="929" customFormat="false" ht="11.25" hidden="false" customHeight="true" outlineLevel="0" collapsed="false">
      <c r="A929" s="89"/>
      <c r="B929" s="89"/>
      <c r="C929" s="89"/>
      <c r="D929" s="183"/>
      <c r="E929" s="152"/>
      <c r="F929" s="151"/>
      <c r="G929" s="151"/>
      <c r="H929" s="151"/>
      <c r="I929" s="151"/>
      <c r="J929" s="152"/>
      <c r="K929" s="152"/>
      <c r="L929" s="152"/>
      <c r="M929" s="152"/>
      <c r="N929" s="150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</row>
    <row r="930" customFormat="false" ht="11.25" hidden="false" customHeight="true" outlineLevel="0" collapsed="false">
      <c r="A930" s="89"/>
      <c r="B930" s="89"/>
      <c r="C930" s="89"/>
      <c r="D930" s="183"/>
      <c r="E930" s="152"/>
      <c r="F930" s="151"/>
      <c r="G930" s="151"/>
      <c r="H930" s="151"/>
      <c r="I930" s="151"/>
      <c r="J930" s="152"/>
      <c r="K930" s="152"/>
      <c r="L930" s="152"/>
      <c r="M930" s="152"/>
      <c r="N930" s="150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</row>
    <row r="931" customFormat="false" ht="11.25" hidden="false" customHeight="true" outlineLevel="0" collapsed="false">
      <c r="A931" s="89"/>
      <c r="B931" s="89"/>
      <c r="C931" s="89"/>
      <c r="D931" s="183"/>
      <c r="E931" s="152"/>
      <c r="F931" s="151"/>
      <c r="G931" s="151"/>
      <c r="H931" s="151"/>
      <c r="I931" s="151"/>
      <c r="J931" s="152"/>
      <c r="K931" s="152"/>
      <c r="L931" s="152"/>
      <c r="M931" s="152"/>
      <c r="N931" s="150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</row>
    <row r="932" customFormat="false" ht="11.25" hidden="false" customHeight="true" outlineLevel="0" collapsed="false">
      <c r="A932" s="89"/>
      <c r="B932" s="89"/>
      <c r="C932" s="89"/>
      <c r="D932" s="183"/>
      <c r="E932" s="152"/>
      <c r="F932" s="151"/>
      <c r="G932" s="151"/>
      <c r="H932" s="151"/>
      <c r="I932" s="151"/>
      <c r="J932" s="152"/>
      <c r="K932" s="152"/>
      <c r="L932" s="152"/>
      <c r="M932" s="152"/>
      <c r="N932" s="150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</row>
    <row r="933" customFormat="false" ht="11.25" hidden="false" customHeight="true" outlineLevel="0" collapsed="false">
      <c r="A933" s="89"/>
      <c r="B933" s="89"/>
      <c r="C933" s="89"/>
      <c r="D933" s="183"/>
      <c r="E933" s="152"/>
      <c r="F933" s="151"/>
      <c r="G933" s="151"/>
      <c r="H933" s="151"/>
      <c r="I933" s="151"/>
      <c r="J933" s="152"/>
      <c r="K933" s="152"/>
      <c r="L933" s="152"/>
      <c r="M933" s="152"/>
      <c r="N933" s="150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</row>
    <row r="934" customFormat="false" ht="11.25" hidden="false" customHeight="true" outlineLevel="0" collapsed="false">
      <c r="A934" s="89"/>
      <c r="B934" s="89"/>
      <c r="C934" s="89"/>
      <c r="D934" s="183"/>
      <c r="E934" s="152"/>
      <c r="F934" s="151"/>
      <c r="G934" s="151"/>
      <c r="H934" s="151"/>
      <c r="I934" s="151"/>
      <c r="J934" s="152"/>
      <c r="K934" s="152"/>
      <c r="L934" s="152"/>
      <c r="M934" s="152"/>
      <c r="N934" s="150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</row>
    <row r="935" customFormat="false" ht="11.25" hidden="false" customHeight="true" outlineLevel="0" collapsed="false">
      <c r="A935" s="89"/>
      <c r="B935" s="89"/>
      <c r="C935" s="89"/>
      <c r="D935" s="183"/>
      <c r="E935" s="152"/>
      <c r="F935" s="151"/>
      <c r="G935" s="151"/>
      <c r="H935" s="151"/>
      <c r="I935" s="151"/>
      <c r="J935" s="152"/>
      <c r="K935" s="152"/>
      <c r="L935" s="152"/>
      <c r="M935" s="152"/>
      <c r="N935" s="150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</row>
    <row r="936" customFormat="false" ht="11.25" hidden="false" customHeight="true" outlineLevel="0" collapsed="false">
      <c r="A936" s="89"/>
      <c r="B936" s="89"/>
      <c r="C936" s="89"/>
      <c r="D936" s="183"/>
      <c r="E936" s="152"/>
      <c r="F936" s="151"/>
      <c r="G936" s="151"/>
      <c r="H936" s="151"/>
      <c r="I936" s="151"/>
      <c r="J936" s="152"/>
      <c r="K936" s="152"/>
      <c r="L936" s="152"/>
      <c r="M936" s="152"/>
      <c r="N936" s="150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</row>
    <row r="937" customFormat="false" ht="11.25" hidden="false" customHeight="true" outlineLevel="0" collapsed="false">
      <c r="A937" s="89"/>
      <c r="B937" s="89"/>
      <c r="C937" s="89"/>
      <c r="D937" s="183"/>
      <c r="E937" s="152"/>
      <c r="F937" s="151"/>
      <c r="G937" s="151"/>
      <c r="H937" s="151"/>
      <c r="I937" s="151"/>
      <c r="J937" s="152"/>
      <c r="K937" s="152"/>
      <c r="L937" s="152"/>
      <c r="M937" s="152"/>
      <c r="N937" s="150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</row>
    <row r="938" customFormat="false" ht="11.25" hidden="false" customHeight="true" outlineLevel="0" collapsed="false">
      <c r="A938" s="89"/>
      <c r="B938" s="89"/>
      <c r="C938" s="89"/>
      <c r="D938" s="183"/>
      <c r="E938" s="152"/>
      <c r="F938" s="151"/>
      <c r="G938" s="151"/>
      <c r="H938" s="151"/>
      <c r="I938" s="151"/>
      <c r="J938" s="152"/>
      <c r="K938" s="152"/>
      <c r="L938" s="152"/>
      <c r="M938" s="152"/>
      <c r="N938" s="150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</row>
    <row r="939" customFormat="false" ht="11.25" hidden="false" customHeight="true" outlineLevel="0" collapsed="false">
      <c r="A939" s="89"/>
      <c r="B939" s="89"/>
      <c r="C939" s="89"/>
      <c r="D939" s="183"/>
      <c r="E939" s="152"/>
      <c r="F939" s="151"/>
      <c r="G939" s="151"/>
      <c r="H939" s="151"/>
      <c r="I939" s="151"/>
      <c r="J939" s="152"/>
      <c r="K939" s="152"/>
      <c r="L939" s="152"/>
      <c r="M939" s="152"/>
      <c r="N939" s="150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</row>
    <row r="940" customFormat="false" ht="11.25" hidden="false" customHeight="true" outlineLevel="0" collapsed="false">
      <c r="A940" s="89"/>
      <c r="B940" s="89"/>
      <c r="C940" s="89"/>
      <c r="D940" s="183"/>
      <c r="E940" s="152"/>
      <c r="F940" s="151"/>
      <c r="G940" s="151"/>
      <c r="H940" s="151"/>
      <c r="I940" s="151"/>
      <c r="J940" s="152"/>
      <c r="K940" s="152"/>
      <c r="L940" s="152"/>
      <c r="M940" s="152"/>
      <c r="N940" s="150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</row>
    <row r="941" customFormat="false" ht="11.25" hidden="false" customHeight="true" outlineLevel="0" collapsed="false">
      <c r="A941" s="89"/>
      <c r="B941" s="89"/>
      <c r="C941" s="89"/>
      <c r="D941" s="183"/>
      <c r="E941" s="152"/>
      <c r="F941" s="151"/>
      <c r="G941" s="151"/>
      <c r="H941" s="151"/>
      <c r="I941" s="151"/>
      <c r="J941" s="152"/>
      <c r="K941" s="152"/>
      <c r="L941" s="152"/>
      <c r="M941" s="152"/>
      <c r="N941" s="150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</row>
    <row r="942" customFormat="false" ht="11.25" hidden="false" customHeight="true" outlineLevel="0" collapsed="false">
      <c r="A942" s="89"/>
      <c r="B942" s="89"/>
      <c r="C942" s="89"/>
      <c r="D942" s="183"/>
      <c r="E942" s="152"/>
      <c r="F942" s="151"/>
      <c r="G942" s="151"/>
      <c r="H942" s="151"/>
      <c r="I942" s="151"/>
      <c r="J942" s="152"/>
      <c r="K942" s="152"/>
      <c r="L942" s="152"/>
      <c r="M942" s="152"/>
      <c r="N942" s="150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</row>
    <row r="943" customFormat="false" ht="11.25" hidden="false" customHeight="true" outlineLevel="0" collapsed="false">
      <c r="A943" s="89"/>
      <c r="B943" s="89"/>
      <c r="C943" s="89"/>
      <c r="D943" s="183"/>
      <c r="E943" s="152"/>
      <c r="F943" s="151"/>
      <c r="G943" s="151"/>
      <c r="H943" s="151"/>
      <c r="I943" s="151"/>
      <c r="J943" s="152"/>
      <c r="K943" s="152"/>
      <c r="L943" s="152"/>
      <c r="M943" s="152"/>
      <c r="N943" s="150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</row>
    <row r="944" customFormat="false" ht="11.25" hidden="false" customHeight="true" outlineLevel="0" collapsed="false">
      <c r="A944" s="89"/>
      <c r="B944" s="89"/>
      <c r="C944" s="89"/>
      <c r="D944" s="183"/>
      <c r="E944" s="152"/>
      <c r="F944" s="151"/>
      <c r="G944" s="151"/>
      <c r="H944" s="151"/>
      <c r="I944" s="151"/>
      <c r="J944" s="152"/>
      <c r="K944" s="152"/>
      <c r="L944" s="152"/>
      <c r="M944" s="152"/>
      <c r="N944" s="150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</row>
    <row r="945" customFormat="false" ht="11.25" hidden="false" customHeight="true" outlineLevel="0" collapsed="false">
      <c r="A945" s="89"/>
      <c r="B945" s="89"/>
      <c r="C945" s="89"/>
      <c r="D945" s="183"/>
      <c r="E945" s="152"/>
      <c r="F945" s="151"/>
      <c r="G945" s="151"/>
      <c r="H945" s="151"/>
      <c r="I945" s="151"/>
      <c r="J945" s="152"/>
      <c r="K945" s="152"/>
      <c r="L945" s="152"/>
      <c r="M945" s="152"/>
      <c r="N945" s="150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</row>
    <row r="946" customFormat="false" ht="11.25" hidden="false" customHeight="true" outlineLevel="0" collapsed="false">
      <c r="A946" s="89"/>
      <c r="B946" s="89"/>
      <c r="C946" s="89"/>
      <c r="D946" s="183"/>
      <c r="E946" s="152"/>
      <c r="F946" s="151"/>
      <c r="G946" s="151"/>
      <c r="H946" s="151"/>
      <c r="I946" s="151"/>
      <c r="J946" s="152"/>
      <c r="K946" s="152"/>
      <c r="L946" s="152"/>
      <c r="M946" s="152"/>
      <c r="N946" s="150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</row>
    <row r="947" customFormat="false" ht="11.25" hidden="false" customHeight="true" outlineLevel="0" collapsed="false">
      <c r="A947" s="89"/>
      <c r="B947" s="89"/>
      <c r="C947" s="89"/>
      <c r="D947" s="183"/>
      <c r="E947" s="152"/>
      <c r="F947" s="151"/>
      <c r="G947" s="151"/>
      <c r="H947" s="151"/>
      <c r="I947" s="151"/>
      <c r="J947" s="152"/>
      <c r="K947" s="152"/>
      <c r="L947" s="152"/>
      <c r="M947" s="152"/>
      <c r="N947" s="150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</row>
    <row r="948" customFormat="false" ht="11.25" hidden="false" customHeight="true" outlineLevel="0" collapsed="false">
      <c r="A948" s="89"/>
      <c r="B948" s="89"/>
      <c r="C948" s="89"/>
      <c r="D948" s="183"/>
      <c r="E948" s="152"/>
      <c r="F948" s="151"/>
      <c r="G948" s="151"/>
      <c r="H948" s="151"/>
      <c r="I948" s="151"/>
      <c r="J948" s="152"/>
      <c r="K948" s="152"/>
      <c r="L948" s="152"/>
      <c r="M948" s="152"/>
      <c r="N948" s="150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</row>
    <row r="949" customFormat="false" ht="11.25" hidden="false" customHeight="true" outlineLevel="0" collapsed="false">
      <c r="A949" s="89"/>
      <c r="B949" s="89"/>
      <c r="C949" s="89"/>
      <c r="D949" s="183"/>
      <c r="E949" s="152"/>
      <c r="F949" s="151"/>
      <c r="G949" s="151"/>
      <c r="H949" s="151"/>
      <c r="I949" s="151"/>
      <c r="J949" s="152"/>
      <c r="K949" s="152"/>
      <c r="L949" s="152"/>
      <c r="M949" s="152"/>
      <c r="N949" s="150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</row>
    <row r="950" customFormat="false" ht="11.25" hidden="false" customHeight="true" outlineLevel="0" collapsed="false">
      <c r="A950" s="89"/>
      <c r="B950" s="89"/>
      <c r="C950" s="89"/>
      <c r="D950" s="183"/>
      <c r="E950" s="152"/>
      <c r="F950" s="151"/>
      <c r="G950" s="151"/>
      <c r="H950" s="151"/>
      <c r="I950" s="151"/>
      <c r="J950" s="152"/>
      <c r="K950" s="152"/>
      <c r="L950" s="152"/>
      <c r="M950" s="152"/>
      <c r="N950" s="150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</row>
    <row r="951" customFormat="false" ht="11.25" hidden="false" customHeight="true" outlineLevel="0" collapsed="false">
      <c r="A951" s="89"/>
      <c r="B951" s="89"/>
      <c r="C951" s="89"/>
      <c r="D951" s="183"/>
      <c r="E951" s="152"/>
      <c r="F951" s="151"/>
      <c r="G951" s="151"/>
      <c r="H951" s="151"/>
      <c r="I951" s="151"/>
      <c r="J951" s="152"/>
      <c r="K951" s="152"/>
      <c r="L951" s="152"/>
      <c r="M951" s="152"/>
      <c r="N951" s="150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</row>
    <row r="952" customFormat="false" ht="11.25" hidden="false" customHeight="true" outlineLevel="0" collapsed="false">
      <c r="A952" s="89"/>
      <c r="B952" s="89"/>
      <c r="C952" s="89"/>
      <c r="D952" s="183"/>
      <c r="E952" s="152"/>
      <c r="F952" s="151"/>
      <c r="G952" s="151"/>
      <c r="H952" s="151"/>
      <c r="I952" s="151"/>
      <c r="J952" s="152"/>
      <c r="K952" s="152"/>
      <c r="L952" s="152"/>
      <c r="M952" s="152"/>
      <c r="N952" s="150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</row>
    <row r="953" customFormat="false" ht="11.25" hidden="false" customHeight="true" outlineLevel="0" collapsed="false">
      <c r="A953" s="89"/>
      <c r="B953" s="89"/>
      <c r="C953" s="89"/>
      <c r="D953" s="183"/>
      <c r="E953" s="152"/>
      <c r="F953" s="151"/>
      <c r="G953" s="151"/>
      <c r="H953" s="151"/>
      <c r="I953" s="151"/>
      <c r="J953" s="152"/>
      <c r="K953" s="152"/>
      <c r="L953" s="152"/>
      <c r="M953" s="152"/>
      <c r="N953" s="150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</row>
    <row r="954" customFormat="false" ht="11.25" hidden="false" customHeight="true" outlineLevel="0" collapsed="false">
      <c r="A954" s="89"/>
      <c r="B954" s="89"/>
      <c r="C954" s="89"/>
      <c r="D954" s="183"/>
      <c r="E954" s="152"/>
      <c r="F954" s="151"/>
      <c r="G954" s="151"/>
      <c r="H954" s="151"/>
      <c r="I954" s="151"/>
      <c r="J954" s="152"/>
      <c r="K954" s="152"/>
      <c r="L954" s="152"/>
      <c r="M954" s="152"/>
      <c r="N954" s="150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</row>
    <row r="955" customFormat="false" ht="11.25" hidden="false" customHeight="true" outlineLevel="0" collapsed="false">
      <c r="A955" s="89"/>
      <c r="B955" s="89"/>
      <c r="C955" s="89"/>
      <c r="D955" s="183"/>
      <c r="E955" s="152"/>
      <c r="F955" s="151"/>
      <c r="G955" s="151"/>
      <c r="H955" s="151"/>
      <c r="I955" s="151"/>
      <c r="J955" s="152"/>
      <c r="K955" s="152"/>
      <c r="L955" s="152"/>
      <c r="M955" s="152"/>
      <c r="N955" s="150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</row>
    <row r="956" customFormat="false" ht="11.25" hidden="false" customHeight="true" outlineLevel="0" collapsed="false">
      <c r="A956" s="89"/>
      <c r="B956" s="89"/>
      <c r="C956" s="89"/>
      <c r="D956" s="183"/>
      <c r="E956" s="152"/>
      <c r="F956" s="151"/>
      <c r="G956" s="151"/>
      <c r="H956" s="151"/>
      <c r="I956" s="151"/>
      <c r="J956" s="152"/>
      <c r="K956" s="152"/>
      <c r="L956" s="152"/>
      <c r="M956" s="152"/>
      <c r="N956" s="150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</row>
    <row r="957" customFormat="false" ht="11.25" hidden="false" customHeight="true" outlineLevel="0" collapsed="false">
      <c r="A957" s="89"/>
      <c r="B957" s="89"/>
      <c r="C957" s="89"/>
      <c r="D957" s="183"/>
      <c r="E957" s="152"/>
      <c r="F957" s="151"/>
      <c r="G957" s="151"/>
      <c r="H957" s="151"/>
      <c r="I957" s="151"/>
      <c r="J957" s="152"/>
      <c r="K957" s="152"/>
      <c r="L957" s="152"/>
      <c r="M957" s="152"/>
      <c r="N957" s="150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</row>
    <row r="958" customFormat="false" ht="11.25" hidden="false" customHeight="true" outlineLevel="0" collapsed="false">
      <c r="A958" s="89"/>
      <c r="B958" s="89"/>
      <c r="C958" s="89"/>
      <c r="D958" s="183"/>
      <c r="E958" s="152"/>
      <c r="F958" s="151"/>
      <c r="G958" s="151"/>
      <c r="H958" s="151"/>
      <c r="I958" s="151"/>
      <c r="J958" s="152"/>
      <c r="K958" s="152"/>
      <c r="L958" s="152"/>
      <c r="M958" s="152"/>
      <c r="N958" s="150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</row>
    <row r="959" customFormat="false" ht="11.25" hidden="false" customHeight="true" outlineLevel="0" collapsed="false">
      <c r="A959" s="89"/>
      <c r="B959" s="89"/>
      <c r="C959" s="89"/>
      <c r="D959" s="183"/>
      <c r="E959" s="152"/>
      <c r="F959" s="151"/>
      <c r="G959" s="151"/>
      <c r="H959" s="151"/>
      <c r="I959" s="151"/>
      <c r="J959" s="152"/>
      <c r="K959" s="152"/>
      <c r="L959" s="152"/>
      <c r="M959" s="152"/>
      <c r="N959" s="150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</row>
    <row r="960" customFormat="false" ht="11.25" hidden="false" customHeight="true" outlineLevel="0" collapsed="false">
      <c r="A960" s="89"/>
      <c r="B960" s="89"/>
      <c r="C960" s="89"/>
      <c r="D960" s="183"/>
      <c r="E960" s="152"/>
      <c r="F960" s="151"/>
      <c r="G960" s="151"/>
      <c r="H960" s="151"/>
      <c r="I960" s="151"/>
      <c r="J960" s="152"/>
      <c r="K960" s="152"/>
      <c r="L960" s="152"/>
      <c r="M960" s="152"/>
      <c r="N960" s="150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</row>
    <row r="961" customFormat="false" ht="11.25" hidden="false" customHeight="true" outlineLevel="0" collapsed="false">
      <c r="A961" s="89"/>
      <c r="B961" s="89"/>
      <c r="C961" s="89"/>
      <c r="D961" s="183"/>
      <c r="E961" s="152"/>
      <c r="F961" s="151"/>
      <c r="G961" s="151"/>
      <c r="H961" s="151"/>
      <c r="I961" s="151"/>
      <c r="J961" s="152"/>
      <c r="K961" s="152"/>
      <c r="L961" s="152"/>
      <c r="M961" s="152"/>
      <c r="N961" s="150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</row>
    <row r="962" customFormat="false" ht="11.25" hidden="false" customHeight="true" outlineLevel="0" collapsed="false">
      <c r="A962" s="89"/>
      <c r="B962" s="89"/>
      <c r="C962" s="89"/>
      <c r="D962" s="183"/>
      <c r="E962" s="152"/>
      <c r="F962" s="151"/>
      <c r="G962" s="151"/>
      <c r="H962" s="151"/>
      <c r="I962" s="151"/>
      <c r="J962" s="152"/>
      <c r="K962" s="152"/>
      <c r="L962" s="152"/>
      <c r="M962" s="152"/>
      <c r="N962" s="150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</row>
    <row r="963" customFormat="false" ht="11.25" hidden="false" customHeight="true" outlineLevel="0" collapsed="false">
      <c r="A963" s="89"/>
      <c r="B963" s="89"/>
      <c r="C963" s="89"/>
      <c r="D963" s="183"/>
      <c r="E963" s="152"/>
      <c r="F963" s="151"/>
      <c r="G963" s="151"/>
      <c r="H963" s="151"/>
      <c r="I963" s="151"/>
      <c r="J963" s="152"/>
      <c r="K963" s="152"/>
      <c r="L963" s="152"/>
      <c r="M963" s="152"/>
      <c r="N963" s="150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</row>
    <row r="964" customFormat="false" ht="11.25" hidden="false" customHeight="true" outlineLevel="0" collapsed="false">
      <c r="A964" s="89"/>
      <c r="B964" s="89"/>
      <c r="C964" s="89"/>
      <c r="D964" s="183"/>
      <c r="E964" s="152"/>
      <c r="F964" s="151"/>
      <c r="G964" s="151"/>
      <c r="H964" s="151"/>
      <c r="I964" s="151"/>
      <c r="J964" s="152"/>
      <c r="K964" s="152"/>
      <c r="L964" s="152"/>
      <c r="M964" s="152"/>
      <c r="N964" s="150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</row>
    <row r="965" customFormat="false" ht="11.25" hidden="false" customHeight="true" outlineLevel="0" collapsed="false">
      <c r="A965" s="89"/>
      <c r="B965" s="89"/>
      <c r="C965" s="89"/>
      <c r="D965" s="183"/>
      <c r="E965" s="152"/>
      <c r="F965" s="151"/>
      <c r="G965" s="151"/>
      <c r="H965" s="151"/>
      <c r="I965" s="151"/>
      <c r="J965" s="152"/>
      <c r="K965" s="152"/>
      <c r="L965" s="152"/>
      <c r="M965" s="152"/>
      <c r="N965" s="150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</row>
    <row r="966" customFormat="false" ht="11.25" hidden="false" customHeight="true" outlineLevel="0" collapsed="false">
      <c r="A966" s="89"/>
      <c r="B966" s="89"/>
      <c r="C966" s="89"/>
      <c r="D966" s="183"/>
      <c r="E966" s="152"/>
      <c r="F966" s="151"/>
      <c r="G966" s="151"/>
      <c r="H966" s="151"/>
      <c r="I966" s="151"/>
      <c r="J966" s="152"/>
      <c r="K966" s="152"/>
      <c r="L966" s="152"/>
      <c r="M966" s="152"/>
      <c r="N966" s="150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</row>
    <row r="967" customFormat="false" ht="11.25" hidden="false" customHeight="true" outlineLevel="0" collapsed="false">
      <c r="A967" s="89"/>
      <c r="B967" s="89"/>
      <c r="C967" s="89"/>
      <c r="D967" s="183"/>
      <c r="E967" s="152"/>
      <c r="F967" s="151"/>
      <c r="G967" s="151"/>
      <c r="H967" s="151"/>
      <c r="I967" s="151"/>
      <c r="J967" s="152"/>
      <c r="K967" s="152"/>
      <c r="L967" s="152"/>
      <c r="M967" s="152"/>
      <c r="N967" s="150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</row>
    <row r="968" customFormat="false" ht="11.25" hidden="false" customHeight="true" outlineLevel="0" collapsed="false">
      <c r="A968" s="89"/>
      <c r="B968" s="89"/>
      <c r="C968" s="89"/>
      <c r="D968" s="183"/>
      <c r="E968" s="152"/>
      <c r="F968" s="151"/>
      <c r="G968" s="151"/>
      <c r="H968" s="151"/>
      <c r="I968" s="151"/>
      <c r="J968" s="152"/>
      <c r="K968" s="152"/>
      <c r="L968" s="152"/>
      <c r="M968" s="152"/>
      <c r="N968" s="150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</row>
    <row r="969" customFormat="false" ht="11.25" hidden="false" customHeight="true" outlineLevel="0" collapsed="false">
      <c r="A969" s="89"/>
      <c r="B969" s="89"/>
      <c r="C969" s="89"/>
      <c r="D969" s="183"/>
      <c r="E969" s="152"/>
      <c r="F969" s="151"/>
      <c r="G969" s="151"/>
      <c r="H969" s="151"/>
      <c r="I969" s="151"/>
      <c r="J969" s="152"/>
      <c r="K969" s="152"/>
      <c r="L969" s="152"/>
      <c r="M969" s="152"/>
      <c r="N969" s="150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</row>
    <row r="970" customFormat="false" ht="11.25" hidden="false" customHeight="true" outlineLevel="0" collapsed="false">
      <c r="A970" s="89"/>
      <c r="B970" s="89"/>
      <c r="C970" s="89"/>
      <c r="D970" s="183"/>
      <c r="E970" s="152"/>
      <c r="F970" s="151"/>
      <c r="G970" s="151"/>
      <c r="H970" s="151"/>
      <c r="I970" s="151"/>
      <c r="J970" s="152"/>
      <c r="K970" s="152"/>
      <c r="L970" s="152"/>
      <c r="M970" s="152"/>
      <c r="N970" s="150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</row>
    <row r="971" customFormat="false" ht="11.25" hidden="false" customHeight="true" outlineLevel="0" collapsed="false">
      <c r="A971" s="89"/>
      <c r="B971" s="89"/>
      <c r="C971" s="89"/>
      <c r="D971" s="183"/>
      <c r="E971" s="152"/>
      <c r="F971" s="151"/>
      <c r="G971" s="151"/>
      <c r="H971" s="151"/>
      <c r="I971" s="151"/>
      <c r="J971" s="152"/>
      <c r="K971" s="152"/>
      <c r="L971" s="152"/>
      <c r="M971" s="152"/>
      <c r="N971" s="150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</row>
    <row r="972" customFormat="false" ht="11.25" hidden="false" customHeight="true" outlineLevel="0" collapsed="false">
      <c r="A972" s="89"/>
      <c r="B972" s="89"/>
      <c r="C972" s="89"/>
      <c r="D972" s="183"/>
      <c r="E972" s="152"/>
      <c r="F972" s="151"/>
      <c r="G972" s="151"/>
      <c r="H972" s="151"/>
      <c r="I972" s="151"/>
      <c r="J972" s="152"/>
      <c r="K972" s="152"/>
      <c r="L972" s="152"/>
      <c r="M972" s="152"/>
      <c r="N972" s="150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</row>
    <row r="973" customFormat="false" ht="11.25" hidden="false" customHeight="true" outlineLevel="0" collapsed="false">
      <c r="A973" s="89"/>
      <c r="B973" s="89"/>
      <c r="C973" s="89"/>
      <c r="D973" s="183"/>
      <c r="E973" s="152"/>
      <c r="F973" s="151"/>
      <c r="G973" s="151"/>
      <c r="H973" s="151"/>
      <c r="I973" s="151"/>
      <c r="J973" s="152"/>
      <c r="K973" s="152"/>
      <c r="L973" s="152"/>
      <c r="M973" s="152"/>
      <c r="N973" s="150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</row>
    <row r="974" customFormat="false" ht="11.25" hidden="false" customHeight="true" outlineLevel="0" collapsed="false">
      <c r="A974" s="89"/>
      <c r="B974" s="89"/>
      <c r="C974" s="89"/>
      <c r="D974" s="183"/>
      <c r="E974" s="152"/>
      <c r="F974" s="151"/>
      <c r="G974" s="151"/>
      <c r="H974" s="151"/>
      <c r="I974" s="151"/>
      <c r="J974" s="152"/>
      <c r="K974" s="152"/>
      <c r="L974" s="152"/>
      <c r="M974" s="152"/>
      <c r="N974" s="150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</row>
    <row r="975" customFormat="false" ht="11.25" hidden="false" customHeight="true" outlineLevel="0" collapsed="false">
      <c r="A975" s="89"/>
      <c r="B975" s="89"/>
      <c r="C975" s="89"/>
      <c r="D975" s="183"/>
      <c r="E975" s="152"/>
      <c r="F975" s="151"/>
      <c r="G975" s="151"/>
      <c r="H975" s="151"/>
      <c r="I975" s="151"/>
      <c r="J975" s="152"/>
      <c r="K975" s="152"/>
      <c r="L975" s="152"/>
      <c r="M975" s="152"/>
      <c r="N975" s="150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</row>
    <row r="976" customFormat="false" ht="11.25" hidden="false" customHeight="true" outlineLevel="0" collapsed="false">
      <c r="A976" s="89"/>
      <c r="B976" s="89"/>
      <c r="C976" s="89"/>
      <c r="D976" s="183"/>
      <c r="E976" s="152"/>
      <c r="F976" s="151"/>
      <c r="G976" s="151"/>
      <c r="H976" s="151"/>
      <c r="I976" s="151"/>
      <c r="J976" s="152"/>
      <c r="K976" s="152"/>
      <c r="L976" s="152"/>
      <c r="M976" s="152"/>
      <c r="N976" s="150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</row>
    <row r="977" customFormat="false" ht="11.25" hidden="false" customHeight="true" outlineLevel="0" collapsed="false">
      <c r="A977" s="89"/>
      <c r="B977" s="89"/>
      <c r="C977" s="89"/>
      <c r="D977" s="183"/>
      <c r="E977" s="152"/>
      <c r="F977" s="151"/>
      <c r="G977" s="151"/>
      <c r="H977" s="151"/>
      <c r="I977" s="151"/>
      <c r="J977" s="152"/>
      <c r="K977" s="152"/>
      <c r="L977" s="152"/>
      <c r="M977" s="152"/>
      <c r="N977" s="150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</row>
    <row r="978" customFormat="false" ht="11.25" hidden="false" customHeight="true" outlineLevel="0" collapsed="false">
      <c r="A978" s="89"/>
      <c r="B978" s="89"/>
      <c r="C978" s="89"/>
      <c r="D978" s="183"/>
      <c r="E978" s="152"/>
      <c r="F978" s="151"/>
      <c r="G978" s="151"/>
      <c r="H978" s="151"/>
      <c r="I978" s="151"/>
      <c r="J978" s="152"/>
      <c r="K978" s="152"/>
      <c r="L978" s="152"/>
      <c r="M978" s="152"/>
      <c r="N978" s="150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</row>
    <row r="979" customFormat="false" ht="11.25" hidden="false" customHeight="true" outlineLevel="0" collapsed="false">
      <c r="A979" s="89"/>
      <c r="B979" s="89"/>
      <c r="C979" s="89"/>
      <c r="D979" s="183"/>
      <c r="E979" s="152"/>
      <c r="F979" s="151"/>
      <c r="G979" s="151"/>
      <c r="H979" s="151"/>
      <c r="I979" s="151"/>
      <c r="J979" s="152"/>
      <c r="K979" s="152"/>
      <c r="L979" s="152"/>
      <c r="M979" s="152"/>
      <c r="N979" s="150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</row>
    <row r="980" customFormat="false" ht="11.25" hidden="false" customHeight="true" outlineLevel="0" collapsed="false">
      <c r="A980" s="89"/>
      <c r="B980" s="89"/>
      <c r="C980" s="89"/>
      <c r="D980" s="183"/>
      <c r="E980" s="152"/>
      <c r="F980" s="151"/>
      <c r="G980" s="151"/>
      <c r="H980" s="151"/>
      <c r="I980" s="151"/>
      <c r="J980" s="152"/>
      <c r="K980" s="152"/>
      <c r="L980" s="152"/>
      <c r="M980" s="152"/>
      <c r="N980" s="150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</row>
    <row r="981" customFormat="false" ht="11.25" hidden="false" customHeight="true" outlineLevel="0" collapsed="false">
      <c r="A981" s="89"/>
      <c r="B981" s="89"/>
      <c r="C981" s="89"/>
      <c r="D981" s="183"/>
      <c r="E981" s="152"/>
      <c r="F981" s="151"/>
      <c r="G981" s="151"/>
      <c r="H981" s="151"/>
      <c r="I981" s="151"/>
      <c r="J981" s="152"/>
      <c r="K981" s="152"/>
      <c r="L981" s="152"/>
      <c r="M981" s="152"/>
      <c r="N981" s="150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</row>
    <row r="982" customFormat="false" ht="11.25" hidden="false" customHeight="true" outlineLevel="0" collapsed="false">
      <c r="A982" s="89"/>
      <c r="B982" s="89"/>
      <c r="C982" s="89"/>
      <c r="D982" s="183"/>
      <c r="E982" s="152"/>
      <c r="F982" s="151"/>
      <c r="G982" s="151"/>
      <c r="H982" s="151"/>
      <c r="I982" s="151"/>
      <c r="J982" s="152"/>
      <c r="K982" s="152"/>
      <c r="L982" s="152"/>
      <c r="M982" s="152"/>
      <c r="N982" s="150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</row>
    <row r="983" customFormat="false" ht="11.25" hidden="false" customHeight="true" outlineLevel="0" collapsed="false">
      <c r="A983" s="89"/>
      <c r="B983" s="89"/>
      <c r="C983" s="89"/>
      <c r="D983" s="183"/>
      <c r="E983" s="152"/>
      <c r="F983" s="151"/>
      <c r="G983" s="151"/>
      <c r="H983" s="151"/>
      <c r="I983" s="151"/>
      <c r="J983" s="152"/>
      <c r="K983" s="152"/>
      <c r="L983" s="152"/>
      <c r="M983" s="152"/>
      <c r="N983" s="150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</row>
    <row r="984" customFormat="false" ht="11.25" hidden="false" customHeight="true" outlineLevel="0" collapsed="false">
      <c r="A984" s="89"/>
      <c r="B984" s="89"/>
      <c r="C984" s="89"/>
      <c r="D984" s="183"/>
      <c r="E984" s="152"/>
      <c r="F984" s="151"/>
      <c r="G984" s="151"/>
      <c r="H984" s="151"/>
      <c r="I984" s="151"/>
      <c r="J984" s="152"/>
      <c r="K984" s="152"/>
      <c r="L984" s="152"/>
      <c r="M984" s="152"/>
      <c r="N984" s="150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</row>
    <row r="985" customFormat="false" ht="11.25" hidden="false" customHeight="true" outlineLevel="0" collapsed="false">
      <c r="A985" s="89"/>
      <c r="B985" s="89"/>
      <c r="C985" s="89"/>
      <c r="D985" s="183"/>
      <c r="E985" s="152"/>
      <c r="F985" s="151"/>
      <c r="G985" s="151"/>
      <c r="H985" s="151"/>
      <c r="I985" s="151"/>
      <c r="J985" s="152"/>
      <c r="K985" s="152"/>
      <c r="L985" s="152"/>
      <c r="M985" s="152"/>
      <c r="N985" s="150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</row>
    <row r="986" customFormat="false" ht="11.25" hidden="false" customHeight="true" outlineLevel="0" collapsed="false">
      <c r="A986" s="89"/>
      <c r="B986" s="89"/>
      <c r="C986" s="89"/>
      <c r="D986" s="183"/>
      <c r="E986" s="152"/>
      <c r="F986" s="151"/>
      <c r="G986" s="151"/>
      <c r="H986" s="151"/>
      <c r="I986" s="151"/>
      <c r="J986" s="152"/>
      <c r="K986" s="152"/>
      <c r="L986" s="152"/>
      <c r="M986" s="152"/>
      <c r="N986" s="150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</row>
    <row r="987" customFormat="false" ht="11.25" hidden="false" customHeight="true" outlineLevel="0" collapsed="false">
      <c r="A987" s="89"/>
      <c r="B987" s="89"/>
      <c r="C987" s="89"/>
      <c r="D987" s="183"/>
      <c r="E987" s="152"/>
      <c r="F987" s="151"/>
      <c r="G987" s="151"/>
      <c r="H987" s="151"/>
      <c r="I987" s="151"/>
      <c r="J987" s="152"/>
      <c r="K987" s="152"/>
      <c r="L987" s="152"/>
      <c r="M987" s="152"/>
      <c r="N987" s="150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</row>
    <row r="988" customFormat="false" ht="11.25" hidden="false" customHeight="true" outlineLevel="0" collapsed="false">
      <c r="A988" s="89"/>
      <c r="B988" s="89"/>
      <c r="C988" s="89"/>
      <c r="D988" s="183"/>
      <c r="E988" s="152"/>
      <c r="F988" s="151"/>
      <c r="G988" s="151"/>
      <c r="H988" s="151"/>
      <c r="I988" s="151"/>
      <c r="J988" s="152"/>
      <c r="K988" s="152"/>
      <c r="L988" s="152"/>
      <c r="M988" s="152"/>
      <c r="N988" s="150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</row>
    <row r="989" customFormat="false" ht="11.25" hidden="false" customHeight="true" outlineLevel="0" collapsed="false">
      <c r="A989" s="89"/>
      <c r="B989" s="89"/>
      <c r="C989" s="89"/>
      <c r="D989" s="183"/>
      <c r="E989" s="152"/>
      <c r="F989" s="151"/>
      <c r="G989" s="151"/>
      <c r="H989" s="151"/>
      <c r="I989" s="151"/>
      <c r="J989" s="152"/>
      <c r="K989" s="152"/>
      <c r="L989" s="152"/>
      <c r="M989" s="152"/>
      <c r="N989" s="150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</row>
    <row r="990" customFormat="false" ht="11.25" hidden="false" customHeight="true" outlineLevel="0" collapsed="false">
      <c r="A990" s="89"/>
      <c r="B990" s="89"/>
      <c r="C990" s="89"/>
      <c r="D990" s="183"/>
      <c r="E990" s="152"/>
      <c r="F990" s="151"/>
      <c r="G990" s="151"/>
      <c r="H990" s="151"/>
      <c r="I990" s="151"/>
      <c r="J990" s="152"/>
      <c r="K990" s="152"/>
      <c r="L990" s="152"/>
      <c r="M990" s="152"/>
      <c r="N990" s="150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</row>
    <row r="991" customFormat="false" ht="11.25" hidden="false" customHeight="true" outlineLevel="0" collapsed="false">
      <c r="A991" s="89"/>
      <c r="B991" s="89"/>
      <c r="C991" s="89"/>
      <c r="D991" s="183"/>
      <c r="E991" s="152"/>
      <c r="F991" s="151"/>
      <c r="G991" s="151"/>
      <c r="H991" s="151"/>
      <c r="I991" s="151"/>
      <c r="J991" s="152"/>
      <c r="K991" s="152"/>
      <c r="L991" s="152"/>
      <c r="M991" s="152"/>
      <c r="N991" s="150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</row>
    <row r="992" customFormat="false" ht="11.25" hidden="false" customHeight="true" outlineLevel="0" collapsed="false">
      <c r="A992" s="89"/>
      <c r="B992" s="89"/>
      <c r="C992" s="89"/>
      <c r="D992" s="183"/>
      <c r="E992" s="152"/>
      <c r="F992" s="151"/>
      <c r="G992" s="151"/>
      <c r="H992" s="151"/>
      <c r="I992" s="151"/>
      <c r="J992" s="152"/>
      <c r="K992" s="152"/>
      <c r="L992" s="152"/>
      <c r="M992" s="152"/>
      <c r="N992" s="150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</row>
    <row r="993" customFormat="false" ht="11.25" hidden="false" customHeight="true" outlineLevel="0" collapsed="false">
      <c r="A993" s="89"/>
      <c r="B993" s="89"/>
      <c r="C993" s="89"/>
      <c r="D993" s="183"/>
      <c r="E993" s="152"/>
      <c r="F993" s="151"/>
      <c r="G993" s="151"/>
      <c r="H993" s="151"/>
      <c r="I993" s="151"/>
      <c r="J993" s="152"/>
      <c r="K993" s="152"/>
      <c r="L993" s="152"/>
      <c r="M993" s="152"/>
      <c r="N993" s="150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</row>
    <row r="994" customFormat="false" ht="11.25" hidden="false" customHeight="true" outlineLevel="0" collapsed="false">
      <c r="A994" s="89"/>
      <c r="B994" s="89"/>
      <c r="C994" s="89"/>
      <c r="D994" s="183"/>
      <c r="E994" s="152"/>
      <c r="F994" s="151"/>
      <c r="G994" s="151"/>
      <c r="H994" s="151"/>
      <c r="I994" s="151"/>
      <c r="J994" s="152"/>
      <c r="K994" s="152"/>
      <c r="L994" s="152"/>
      <c r="M994" s="152"/>
      <c r="N994" s="150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</row>
    <row r="995" customFormat="false" ht="11.25" hidden="false" customHeight="true" outlineLevel="0" collapsed="false">
      <c r="A995" s="89"/>
      <c r="B995" s="89"/>
      <c r="C995" s="89"/>
      <c r="D995" s="183"/>
      <c r="E995" s="152"/>
      <c r="F995" s="151"/>
      <c r="G995" s="151"/>
      <c r="H995" s="151"/>
      <c r="I995" s="151"/>
      <c r="J995" s="152"/>
      <c r="K995" s="152"/>
      <c r="L995" s="152"/>
      <c r="M995" s="152"/>
      <c r="N995" s="150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</row>
    <row r="996" customFormat="false" ht="11.25" hidden="false" customHeight="true" outlineLevel="0" collapsed="false">
      <c r="A996" s="89"/>
      <c r="B996" s="89"/>
      <c r="C996" s="89"/>
      <c r="D996" s="183"/>
      <c r="E996" s="152"/>
      <c r="F996" s="151"/>
      <c r="G996" s="151"/>
      <c r="H996" s="151"/>
      <c r="I996" s="151"/>
      <c r="J996" s="152"/>
      <c r="K996" s="152"/>
      <c r="L996" s="152"/>
      <c r="M996" s="152"/>
      <c r="N996" s="150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</row>
    <row r="997" customFormat="false" ht="11.25" hidden="false" customHeight="true" outlineLevel="0" collapsed="false">
      <c r="A997" s="89"/>
      <c r="B997" s="89"/>
      <c r="C997" s="89"/>
      <c r="D997" s="183"/>
      <c r="E997" s="152"/>
      <c r="F997" s="151"/>
      <c r="G997" s="151"/>
      <c r="H997" s="151"/>
      <c r="I997" s="151"/>
      <c r="J997" s="152"/>
      <c r="K997" s="152"/>
      <c r="L997" s="152"/>
      <c r="M997" s="152"/>
      <c r="N997" s="150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</row>
    <row r="998" customFormat="false" ht="11.25" hidden="false" customHeight="true" outlineLevel="0" collapsed="false">
      <c r="A998" s="89"/>
      <c r="B998" s="89"/>
      <c r="C998" s="89"/>
      <c r="D998" s="183"/>
      <c r="E998" s="152"/>
      <c r="F998" s="151"/>
      <c r="G998" s="151"/>
      <c r="H998" s="151"/>
      <c r="I998" s="151"/>
      <c r="J998" s="152"/>
      <c r="K998" s="152"/>
      <c r="L998" s="152"/>
      <c r="M998" s="152"/>
      <c r="N998" s="150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</row>
    <row r="999" customFormat="false" ht="11.25" hidden="false" customHeight="true" outlineLevel="0" collapsed="false">
      <c r="A999" s="89"/>
      <c r="B999" s="89"/>
      <c r="C999" s="89"/>
      <c r="D999" s="183"/>
      <c r="E999" s="152"/>
      <c r="F999" s="151"/>
      <c r="G999" s="151"/>
      <c r="H999" s="151"/>
      <c r="I999" s="151"/>
      <c r="J999" s="152"/>
      <c r="K999" s="152"/>
      <c r="L999" s="152"/>
      <c r="M999" s="152"/>
      <c r="N999" s="150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</row>
    <row r="1000" customFormat="false" ht="11.25" hidden="false" customHeight="true" outlineLevel="0" collapsed="false">
      <c r="A1000" s="89"/>
      <c r="B1000" s="89"/>
      <c r="C1000" s="89"/>
      <c r="D1000" s="183"/>
      <c r="E1000" s="152"/>
      <c r="F1000" s="151"/>
      <c r="G1000" s="151"/>
      <c r="H1000" s="151"/>
      <c r="I1000" s="151"/>
      <c r="J1000" s="152"/>
      <c r="K1000" s="152"/>
      <c r="L1000" s="152"/>
      <c r="M1000" s="152"/>
      <c r="N1000" s="150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</row>
  </sheetData>
  <mergeCells count="9">
    <mergeCell ref="A1:N1"/>
    <mergeCell ref="A2:A3"/>
    <mergeCell ref="B2:B3"/>
    <mergeCell ref="C2:C3"/>
    <mergeCell ref="D2:D3"/>
    <mergeCell ref="E2:E3"/>
    <mergeCell ref="F2:I2"/>
    <mergeCell ref="J2:M2"/>
    <mergeCell ref="N2:N3"/>
  </mergeCells>
  <dataValidations count="4">
    <dataValidation allowBlank="true" operator="between" showDropDown="false" showErrorMessage="true" showInputMessage="false" sqref="J4:M105" type="list">
      <formula1>Parametros!$I$2:$I$5</formula1>
      <formula2>0</formula2>
    </dataValidation>
    <dataValidation allowBlank="true" operator="between" showDropDown="false" showErrorMessage="true" showInputMessage="false" sqref="A4:A105" type="list">
      <formula1>'PDU 2020-2023'!$C$4:$C$105</formula1>
      <formula2>0</formula2>
    </dataValidation>
    <dataValidation allowBlank="true" operator="between" showDropDown="true" showErrorMessage="true" showInputMessage="false" sqref="B4:B105" type="decimal">
      <formula1>1</formula1>
      <formula2>20</formula2>
    </dataValidation>
    <dataValidation allowBlank="true" operator="between" showDropDown="false" showErrorMessage="true" showInputMessage="false" sqref="E4:E105" type="list">
      <formula1>Parametros!$F$2:$F$3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8.74"/>
    <col collapsed="false" customWidth="true" hidden="false" outlineLevel="0" max="2" min="2" style="0" width="4.38"/>
    <col collapsed="false" customWidth="true" hidden="false" outlineLevel="0" max="3" min="3" style="0" width="6.13"/>
    <col collapsed="false" customWidth="true" hidden="false" outlineLevel="0" max="4" min="4" style="0" width="37.62"/>
    <col collapsed="false" customWidth="true" hidden="false" outlineLevel="0" max="5" min="5" style="0" width="10.38"/>
    <col collapsed="false" customWidth="true" hidden="false" outlineLevel="0" max="10" min="10" style="0" width="13.88"/>
    <col collapsed="false" customWidth="true" hidden="false" outlineLevel="0" max="13" min="11" style="0" width="13.25"/>
    <col collapsed="false" customWidth="true" hidden="false" outlineLevel="0" max="14" min="14" style="0" width="31.38"/>
  </cols>
  <sheetData>
    <row r="1" customFormat="false" ht="14.25" hidden="false" customHeight="true" outlineLevel="0" collapsed="false">
      <c r="A1" s="153" t="str">
        <f aca="false">IFERROR(__xludf.dummyfunction("IMPORTRANGE(""1NZaPiVqFzCwlmUq8LagadmqPKSiT9llb2c3OuwvzV-4"",""PA 2023!a1"")"),"Plano Anual 2023")</f>
        <v>Plano Anual 2023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customFormat="false" ht="11.25" hidden="false" customHeight="true" outlineLevel="0" collapsed="false">
      <c r="A2" s="96" t="str">
        <f aca="false">IFERROR(__xludf.dummyfunction("IMPORTRANGE(""1NZaPiVqFzCwlmUq8LagadmqPKSiT9llb2c3OuwvzV-4"",""PA 2023!a2"")"),"Vinculação com o PDU")</f>
        <v>Vinculação com o PDU</v>
      </c>
      <c r="B2" s="97" t="str">
        <f aca="false">IFERROR(__xludf.dummyfunction("IMPORTRANGE(""1NZaPiVqFzCwlmUq8LagadmqPKSiT9llb2c3OuwvzV-4"",""PA 2023!b2"")"),"Nº da Ação")</f>
        <v>Nº da Ação</v>
      </c>
      <c r="C2" s="97" t="str">
        <f aca="false">IFERROR(__xludf.dummyfunction("IMPORTRANGE(""1NZaPiVqFzCwlmUq8LagadmqPKSiT9llb2c3OuwvzV-4"",""PA 2023!c2"")"),"Código da Ação")</f>
        <v>Código da Ação</v>
      </c>
      <c r="D2" s="98" t="str">
        <f aca="false">IFERROR(__xludf.dummyfunction("IMPORTRANGE(""1NZaPiVqFzCwlmUq8LagadmqPKSiT9llb2c3OuwvzV-4"",""PA 2023!d2"")"),"Ação")</f>
        <v>Ação</v>
      </c>
      <c r="E2" s="1" t="str">
        <f aca="false">IFERROR(__xludf.dummyfunction("IMPORTRANGE(""1NZaPiVqFzCwlmUq8LagadmqPKSiT9llb2c3OuwvzV-4"",""PA 2023!e2"")"),"Recursos Orçamentários")</f>
        <v>Recursos Orçamentários</v>
      </c>
      <c r="F2" s="99" t="str">
        <f aca="false">IFERROR(__xludf.dummyfunction("IMPORTRANGE(""1NZaPiVqFzCwlmUq8LagadmqPKSiT9llb2c3OuwvzV-4"",""PA 2023!f2"")"),"Descrição das Entregas")</f>
        <v>Descrição das Entregas</v>
      </c>
      <c r="G2" s="99"/>
      <c r="H2" s="99"/>
      <c r="I2" s="99"/>
      <c r="J2" s="99" t="str">
        <f aca="false">IFERROR(__xludf.dummyfunction("IMPORTRANGE(""1NZaPiVqFzCwlmUq8LagadmqPKSiT9llb2c3OuwvzV-4"",""PA 2023!j2"")"),"Situação das Entregas")</f>
        <v>Situação das Entregas</v>
      </c>
      <c r="K2" s="99"/>
      <c r="L2" s="99"/>
      <c r="M2" s="99"/>
      <c r="N2" s="100" t="str">
        <f aca="false">IFERROR(__xludf.dummyfunction("IMPORTRANGE(""1NZaPiVqFzCwlmUq8LagadmqPKSiT9llb2c3OuwvzV-4"",""PA 2023!n2"")"),"Observação")</f>
        <v>Observação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customFormat="false" ht="11.25" hidden="false" customHeight="true" outlineLevel="0" collapsed="false">
      <c r="A3" s="96"/>
      <c r="B3" s="97"/>
      <c r="C3" s="97"/>
      <c r="D3" s="97"/>
      <c r="E3" s="1"/>
      <c r="F3" s="154" t="str">
        <f aca="false">IFERROR(__xludf.dummyfunction("IMPORTRANGE(""1NZaPiVqFzCwlmUq8LagadmqPKSiT9llb2c3OuwvzV-4"",""PA 2023!f3"")"),"1º Trimestre")</f>
        <v>1º Trimestre</v>
      </c>
      <c r="G3" s="104" t="str">
        <f aca="false">IFERROR(__xludf.dummyfunction("IMPORTRANGE(""1NZaPiVqFzCwlmUq8LagadmqPKSiT9llb2c3OuwvzV-4"",""PA 2023!g3"")"),"2º Trimestre")</f>
        <v>2º Trimestre</v>
      </c>
      <c r="H3" s="104" t="str">
        <f aca="false">IFERROR(__xludf.dummyfunction("IMPORTRANGE(""1NZaPiVqFzCwlmUq8LagadmqPKSiT9llb2c3OuwvzV-4"",""PA 2023!h3"")"),"3º Trimestre")</f>
        <v>3º Trimestre</v>
      </c>
      <c r="I3" s="104" t="str">
        <f aca="false">IFERROR(__xludf.dummyfunction("IMPORTRANGE(""1NZaPiVqFzCwlmUq8LagadmqPKSiT9llb2c3OuwvzV-4"",""PA 2023!i3"")"),"4º Trimestre")</f>
        <v>4º Trimestre</v>
      </c>
      <c r="J3" s="103" t="str">
        <f aca="false">IFERROR(__xludf.dummyfunction("IMPORTRANGE(""1NZaPiVqFzCwlmUq8LagadmqPKSiT9llb2c3OuwvzV-4"",""PA 2023!j3"")"),"1º Trimestre")</f>
        <v>1º Trimestre</v>
      </c>
      <c r="K3" s="104" t="str">
        <f aca="false">IFERROR(__xludf.dummyfunction("IMPORTRANGE(""1NZaPiVqFzCwlmUq8LagadmqPKSiT9llb2c3OuwvzV-4"",""PA 2023!k3"")"),"2º Trimestre")</f>
        <v>2º Trimestre</v>
      </c>
      <c r="L3" s="104" t="str">
        <f aca="false">IFERROR(__xludf.dummyfunction("IMPORTRANGE(""1NZaPiVqFzCwlmUq8LagadmqPKSiT9llb2c3OuwvzV-4"",""PA 2023!l3"")"),"3º Trimestre")</f>
        <v>3º Trimestre</v>
      </c>
      <c r="M3" s="105" t="str">
        <f aca="false">IFERROR(__xludf.dummyfunction("IMPORTRANGE(""1NZaPiVqFzCwlmUq8LagadmqPKSiT9llb2c3OuwvzV-4"",""PA 2023!m3"")"),"4º Trimestre")</f>
        <v>4º Trimestre</v>
      </c>
      <c r="N3" s="100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customFormat="false" ht="27.75" hidden="false" customHeight="true" outlineLevel="0" collapsed="false">
      <c r="A4" s="106" t="s">
        <v>85</v>
      </c>
      <c r="B4" s="107" t="n">
        <v>7</v>
      </c>
      <c r="C4" s="108" t="str">
        <f aca="false">CONCATENATE(A4,".",B4)</f>
        <v>PG 4.22.7</v>
      </c>
      <c r="D4" s="109" t="s">
        <v>89</v>
      </c>
      <c r="E4" s="155" t="s">
        <v>54</v>
      </c>
      <c r="F4" s="130" t="s">
        <v>90</v>
      </c>
      <c r="G4" s="131"/>
      <c r="H4" s="110" t="s">
        <v>90</v>
      </c>
      <c r="I4" s="132"/>
      <c r="J4" s="110"/>
      <c r="K4" s="156"/>
      <c r="L4" s="156"/>
      <c r="M4" s="157"/>
      <c r="N4" s="158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customFormat="false" ht="27.75" hidden="false" customHeight="true" outlineLevel="0" collapsed="false">
      <c r="A5" s="106" t="s">
        <v>85</v>
      </c>
      <c r="B5" s="116" t="n">
        <v>8</v>
      </c>
      <c r="C5" s="108" t="str">
        <f aca="false">CONCATENATE(A5,".",B5)</f>
        <v>PG 4.22.8</v>
      </c>
      <c r="D5" s="117" t="s">
        <v>91</v>
      </c>
      <c r="E5" s="122" t="s">
        <v>54</v>
      </c>
      <c r="F5" s="128"/>
      <c r="G5" s="118" t="s">
        <v>92</v>
      </c>
      <c r="H5" s="120"/>
      <c r="I5" s="126" t="s">
        <v>92</v>
      </c>
      <c r="J5" s="118"/>
      <c r="K5" s="124"/>
      <c r="L5" s="124"/>
      <c r="M5" s="159"/>
      <c r="N5" s="160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customFormat="false" ht="27.75" hidden="false" customHeight="true" outlineLevel="0" collapsed="false">
      <c r="A6" s="106"/>
      <c r="B6" s="116"/>
      <c r="C6" s="108"/>
      <c r="D6" s="117"/>
      <c r="E6" s="120"/>
      <c r="F6" s="119"/>
      <c r="G6" s="120"/>
      <c r="H6" s="120"/>
      <c r="I6" s="121"/>
      <c r="J6" s="120"/>
      <c r="K6" s="124"/>
      <c r="L6" s="124"/>
      <c r="M6" s="159"/>
      <c r="N6" s="160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customFormat="false" ht="27.75" hidden="false" customHeight="true" outlineLevel="0" collapsed="false">
      <c r="A7" s="106" t="s">
        <v>93</v>
      </c>
      <c r="B7" s="116" t="n">
        <v>4</v>
      </c>
      <c r="C7" s="108" t="str">
        <f aca="false">CONCATENATE(A7,".",B7)</f>
        <v>PG 4.7.4</v>
      </c>
      <c r="D7" s="117" t="s">
        <v>94</v>
      </c>
      <c r="E7" s="122" t="s">
        <v>54</v>
      </c>
      <c r="F7" s="128" t="s">
        <v>95</v>
      </c>
      <c r="G7" s="118" t="s">
        <v>95</v>
      </c>
      <c r="H7" s="118" t="s">
        <v>95</v>
      </c>
      <c r="I7" s="126" t="s">
        <v>95</v>
      </c>
      <c r="J7" s="120"/>
      <c r="K7" s="124"/>
      <c r="L7" s="124"/>
      <c r="M7" s="159"/>
      <c r="N7" s="160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customFormat="false" ht="27.75" hidden="false" customHeight="true" outlineLevel="0" collapsed="false">
      <c r="A8" s="106"/>
      <c r="B8" s="116"/>
      <c r="C8" s="108" t="str">
        <f aca="false">CONCATENATE(A8,".",B8)</f>
        <v>.</v>
      </c>
      <c r="D8" s="129"/>
      <c r="E8" s="120"/>
      <c r="F8" s="119"/>
      <c r="G8" s="120"/>
      <c r="H8" s="120"/>
      <c r="I8" s="121"/>
      <c r="J8" s="120"/>
      <c r="K8" s="124"/>
      <c r="L8" s="124"/>
      <c r="M8" s="159"/>
      <c r="N8" s="160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customFormat="false" ht="27.75" hidden="false" customHeight="true" outlineLevel="0" collapsed="false">
      <c r="A9" s="106" t="s">
        <v>97</v>
      </c>
      <c r="B9" s="116" t="n">
        <v>10</v>
      </c>
      <c r="C9" s="108" t="str">
        <f aca="false">CONCATENATE(A9,".",B9)</f>
        <v>PDI 2.2.10</v>
      </c>
      <c r="D9" s="117" t="s">
        <v>155</v>
      </c>
      <c r="E9" s="122" t="s">
        <v>54</v>
      </c>
      <c r="F9" s="128"/>
      <c r="G9" s="118"/>
      <c r="H9" s="118" t="s">
        <v>156</v>
      </c>
      <c r="I9" s="126"/>
      <c r="J9" s="120"/>
      <c r="K9" s="124"/>
      <c r="L9" s="124"/>
      <c r="M9" s="159"/>
      <c r="N9" s="160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customFormat="false" ht="27.75" hidden="false" customHeight="true" outlineLevel="0" collapsed="false">
      <c r="A10" s="106" t="s">
        <v>97</v>
      </c>
      <c r="B10" s="116" t="n">
        <v>11</v>
      </c>
      <c r="C10" s="108" t="str">
        <f aca="false">CONCATENATE(A10,".",B10)</f>
        <v>PDI 2.2.11</v>
      </c>
      <c r="D10" s="117" t="s">
        <v>157</v>
      </c>
      <c r="E10" s="118" t="s">
        <v>54</v>
      </c>
      <c r="F10" s="119"/>
      <c r="G10" s="120"/>
      <c r="H10" s="118" t="s">
        <v>158</v>
      </c>
      <c r="I10" s="121"/>
      <c r="J10" s="120"/>
      <c r="K10" s="124"/>
      <c r="L10" s="124"/>
      <c r="M10" s="159"/>
      <c r="N10" s="160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customFormat="false" ht="27.75" hidden="false" customHeight="true" outlineLevel="0" collapsed="false">
      <c r="A11" s="106" t="s">
        <v>97</v>
      </c>
      <c r="B11" s="116" t="n">
        <v>12</v>
      </c>
      <c r="C11" s="108" t="str">
        <f aca="false">CONCATENATE(A11,".",B11)</f>
        <v>PDI 2.2.12</v>
      </c>
      <c r="D11" s="117" t="s">
        <v>159</v>
      </c>
      <c r="E11" s="118" t="s">
        <v>54</v>
      </c>
      <c r="F11" s="119"/>
      <c r="G11" s="120"/>
      <c r="H11" s="120"/>
      <c r="I11" s="126" t="s">
        <v>160</v>
      </c>
      <c r="J11" s="120"/>
      <c r="K11" s="124"/>
      <c r="L11" s="124"/>
      <c r="M11" s="159"/>
      <c r="N11" s="160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customFormat="false" ht="27.75" hidden="false" customHeight="true" outlineLevel="0" collapsed="false">
      <c r="A12" s="106" t="s">
        <v>97</v>
      </c>
      <c r="B12" s="116" t="n">
        <v>13</v>
      </c>
      <c r="C12" s="108" t="str">
        <f aca="false">CONCATENATE(A12,".",B12)</f>
        <v>PDI 2.2.13</v>
      </c>
      <c r="D12" s="117" t="s">
        <v>161</v>
      </c>
      <c r="E12" s="122" t="s">
        <v>54</v>
      </c>
      <c r="F12" s="134"/>
      <c r="G12" s="135"/>
      <c r="H12" s="135"/>
      <c r="I12" s="184" t="s">
        <v>162</v>
      </c>
      <c r="J12" s="124"/>
      <c r="K12" s="124"/>
      <c r="L12" s="124"/>
      <c r="M12" s="159"/>
      <c r="N12" s="160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customFormat="false" ht="27.75" hidden="false" customHeight="true" outlineLevel="0" collapsed="false">
      <c r="A13" s="106"/>
      <c r="B13" s="127"/>
      <c r="C13" s="108" t="str">
        <f aca="false">CONCATENATE(A13,".",B13)</f>
        <v>.</v>
      </c>
      <c r="D13" s="117"/>
      <c r="E13" s="124"/>
      <c r="F13" s="119"/>
      <c r="G13" s="120"/>
      <c r="H13" s="120"/>
      <c r="I13" s="121"/>
      <c r="J13" s="124"/>
      <c r="K13" s="124"/>
      <c r="L13" s="124"/>
      <c r="M13" s="159"/>
      <c r="N13" s="160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customFormat="false" ht="27.75" hidden="false" customHeight="true" outlineLevel="0" collapsed="false">
      <c r="A14" s="106" t="s">
        <v>119</v>
      </c>
      <c r="B14" s="116" t="n">
        <v>10</v>
      </c>
      <c r="C14" s="108" t="str">
        <f aca="false">CONCATENATE(A14,".",B14)</f>
        <v>PG 4.6.10</v>
      </c>
      <c r="D14" s="117" t="s">
        <v>120</v>
      </c>
      <c r="E14" s="122" t="s">
        <v>54</v>
      </c>
      <c r="F14" s="128" t="s">
        <v>121</v>
      </c>
      <c r="G14" s="118"/>
      <c r="H14" s="118" t="s">
        <v>121</v>
      </c>
      <c r="I14" s="121"/>
      <c r="J14" s="124"/>
      <c r="K14" s="124"/>
      <c r="L14" s="124"/>
      <c r="M14" s="159"/>
      <c r="N14" s="160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customFormat="false" ht="27.75" hidden="false" customHeight="true" outlineLevel="0" collapsed="false">
      <c r="A15" s="106" t="s">
        <v>119</v>
      </c>
      <c r="B15" s="116" t="n">
        <v>11</v>
      </c>
      <c r="C15" s="108" t="str">
        <f aca="false">CONCATENATE(A15,".",B15)</f>
        <v>PG 4.6.11</v>
      </c>
      <c r="D15" s="117" t="s">
        <v>123</v>
      </c>
      <c r="E15" s="122" t="s">
        <v>54</v>
      </c>
      <c r="F15" s="128" t="s">
        <v>45</v>
      </c>
      <c r="G15" s="120"/>
      <c r="H15" s="118" t="s">
        <v>45</v>
      </c>
      <c r="I15" s="121"/>
      <c r="J15" s="124"/>
      <c r="K15" s="124"/>
      <c r="L15" s="124"/>
      <c r="M15" s="159"/>
      <c r="N15" s="160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customFormat="false" ht="27.75" hidden="false" customHeight="true" outlineLevel="0" collapsed="false">
      <c r="A16" s="106" t="s">
        <v>119</v>
      </c>
      <c r="B16" s="116" t="n">
        <v>12</v>
      </c>
      <c r="C16" s="108" t="str">
        <f aca="false">CONCATENATE(A16,".",B16)</f>
        <v>PG 4.6.12</v>
      </c>
      <c r="D16" s="117" t="s">
        <v>124</v>
      </c>
      <c r="E16" s="122" t="s">
        <v>54</v>
      </c>
      <c r="F16" s="119"/>
      <c r="G16" s="118" t="s">
        <v>125</v>
      </c>
      <c r="H16" s="120"/>
      <c r="I16" s="126" t="s">
        <v>125</v>
      </c>
      <c r="J16" s="124"/>
      <c r="K16" s="124"/>
      <c r="L16" s="124"/>
      <c r="M16" s="159"/>
      <c r="N16" s="16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customFormat="false" ht="27.75" hidden="false" customHeight="true" outlineLevel="0" collapsed="false">
      <c r="A17" s="106"/>
      <c r="B17" s="127"/>
      <c r="C17" s="108" t="str">
        <f aca="false">CONCATENATE(A17,".",B17)</f>
        <v>.</v>
      </c>
      <c r="D17" s="129"/>
      <c r="E17" s="122"/>
      <c r="F17" s="119"/>
      <c r="G17" s="120"/>
      <c r="H17" s="120"/>
      <c r="I17" s="121"/>
      <c r="J17" s="124"/>
      <c r="K17" s="124"/>
      <c r="L17" s="124"/>
      <c r="M17" s="159"/>
      <c r="N17" s="160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customFormat="false" ht="27.75" hidden="false" customHeight="true" outlineLevel="0" collapsed="false">
      <c r="A18" s="106" t="s">
        <v>142</v>
      </c>
      <c r="B18" s="116" t="n">
        <v>14</v>
      </c>
      <c r="C18" s="108" t="str">
        <f aca="false">CONCATENATE(A18,".",B18)</f>
        <v>PG 4.33.14</v>
      </c>
      <c r="D18" s="117" t="s">
        <v>145</v>
      </c>
      <c r="E18" s="122" t="s">
        <v>54</v>
      </c>
      <c r="F18" s="133"/>
      <c r="G18" s="131"/>
      <c r="H18" s="110" t="s">
        <v>146</v>
      </c>
      <c r="I18" s="132"/>
      <c r="J18" s="124"/>
      <c r="K18" s="124"/>
      <c r="L18" s="124"/>
      <c r="M18" s="159"/>
      <c r="N18" s="160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customFormat="false" ht="27.75" hidden="false" customHeight="true" outlineLevel="0" collapsed="false">
      <c r="A19" s="106" t="s">
        <v>142</v>
      </c>
      <c r="B19" s="116" t="n">
        <v>15</v>
      </c>
      <c r="C19" s="137" t="str">
        <f aca="false">CONCATENATE(A19,".",B19)</f>
        <v>PG 4.33.15</v>
      </c>
      <c r="D19" s="117" t="s">
        <v>147</v>
      </c>
      <c r="E19" s="122" t="s">
        <v>54</v>
      </c>
      <c r="F19" s="119"/>
      <c r="G19" s="120"/>
      <c r="H19" s="118" t="s">
        <v>148</v>
      </c>
      <c r="I19" s="121"/>
      <c r="J19" s="124"/>
      <c r="K19" s="124"/>
      <c r="L19" s="124"/>
      <c r="M19" s="159"/>
      <c r="N19" s="160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customFormat="false" ht="27.75" hidden="false" customHeight="true" outlineLevel="0" collapsed="false">
      <c r="A20" s="106" t="s">
        <v>142</v>
      </c>
      <c r="B20" s="116" t="n">
        <v>16</v>
      </c>
      <c r="C20" s="137" t="str">
        <f aca="false">CONCATENATE(A20,".",B20)</f>
        <v>PG 4.33.16</v>
      </c>
      <c r="D20" s="117" t="s">
        <v>150</v>
      </c>
      <c r="E20" s="122" t="s">
        <v>54</v>
      </c>
      <c r="F20" s="119"/>
      <c r="G20" s="120"/>
      <c r="H20" s="120"/>
      <c r="I20" s="126" t="s">
        <v>151</v>
      </c>
      <c r="J20" s="124"/>
      <c r="K20" s="124"/>
      <c r="L20" s="124"/>
      <c r="M20" s="159"/>
      <c r="N20" s="160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customFormat="false" ht="27.75" hidden="false" customHeight="true" outlineLevel="0" collapsed="false">
      <c r="A21" s="106" t="s">
        <v>142</v>
      </c>
      <c r="B21" s="116" t="n">
        <v>17</v>
      </c>
      <c r="C21" s="137" t="str">
        <f aca="false">CONCATENATE(A21,".",B21)</f>
        <v>PG 4.33.17</v>
      </c>
      <c r="D21" s="117" t="s">
        <v>152</v>
      </c>
      <c r="E21" s="122" t="s">
        <v>54</v>
      </c>
      <c r="F21" s="128"/>
      <c r="G21" s="120"/>
      <c r="H21" s="118" t="s">
        <v>153</v>
      </c>
      <c r="I21" s="121"/>
      <c r="J21" s="124"/>
      <c r="K21" s="124"/>
      <c r="L21" s="124"/>
      <c r="M21" s="159"/>
      <c r="N21" s="160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customFormat="false" ht="27.75" hidden="false" customHeight="true" outlineLevel="0" collapsed="false">
      <c r="A22" s="106"/>
      <c r="B22" s="127"/>
      <c r="C22" s="108" t="str">
        <f aca="false">CONCATENATE(A22,".",B22)</f>
        <v>.</v>
      </c>
      <c r="D22" s="129"/>
      <c r="E22" s="124"/>
      <c r="F22" s="119"/>
      <c r="G22" s="120"/>
      <c r="H22" s="120"/>
      <c r="I22" s="121"/>
      <c r="J22" s="124"/>
      <c r="K22" s="124"/>
      <c r="L22" s="124"/>
      <c r="M22" s="159"/>
      <c r="N22" s="160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customFormat="false" ht="27.75" hidden="false" customHeight="true" outlineLevel="0" collapsed="false">
      <c r="A23" s="106"/>
      <c r="B23" s="127"/>
      <c r="C23" s="108" t="str">
        <f aca="false">CONCATENATE(A23,".",B23)</f>
        <v>.</v>
      </c>
      <c r="D23" s="129"/>
      <c r="E23" s="124"/>
      <c r="F23" s="119"/>
      <c r="G23" s="120"/>
      <c r="H23" s="120"/>
      <c r="I23" s="121"/>
      <c r="J23" s="124"/>
      <c r="K23" s="124"/>
      <c r="L23" s="124"/>
      <c r="M23" s="159"/>
      <c r="N23" s="160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customFormat="false" ht="27.75" hidden="false" customHeight="true" outlineLevel="0" collapsed="false">
      <c r="A24" s="106"/>
      <c r="B24" s="127"/>
      <c r="C24" s="108" t="str">
        <f aca="false">CONCATENATE(A24,".",B24)</f>
        <v>.</v>
      </c>
      <c r="D24" s="129"/>
      <c r="E24" s="124"/>
      <c r="F24" s="119"/>
      <c r="G24" s="120"/>
      <c r="H24" s="120"/>
      <c r="I24" s="121"/>
      <c r="J24" s="124"/>
      <c r="K24" s="124"/>
      <c r="L24" s="124"/>
      <c r="M24" s="159"/>
      <c r="N24" s="160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customFormat="false" ht="27.75" hidden="false" customHeight="true" outlineLevel="0" collapsed="false">
      <c r="A25" s="106"/>
      <c r="B25" s="127"/>
      <c r="C25" s="108" t="str">
        <f aca="false">CONCATENATE(A25,".",B25)</f>
        <v>.</v>
      </c>
      <c r="D25" s="129"/>
      <c r="E25" s="124"/>
      <c r="F25" s="119"/>
      <c r="G25" s="120"/>
      <c r="H25" s="120"/>
      <c r="I25" s="121"/>
      <c r="J25" s="124"/>
      <c r="K25" s="124"/>
      <c r="L25" s="124"/>
      <c r="M25" s="159"/>
      <c r="N25" s="160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customFormat="false" ht="27.75" hidden="false" customHeight="true" outlineLevel="0" collapsed="false">
      <c r="A26" s="106"/>
      <c r="B26" s="127"/>
      <c r="C26" s="108" t="str">
        <f aca="false">CONCATENATE(A26,".",B26)</f>
        <v>.</v>
      </c>
      <c r="D26" s="129"/>
      <c r="E26" s="124"/>
      <c r="F26" s="119"/>
      <c r="G26" s="120"/>
      <c r="H26" s="120"/>
      <c r="I26" s="121"/>
      <c r="J26" s="124"/>
      <c r="K26" s="124"/>
      <c r="L26" s="124"/>
      <c r="M26" s="159"/>
      <c r="N26" s="160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customFormat="false" ht="27.75" hidden="false" customHeight="true" outlineLevel="0" collapsed="false">
      <c r="A27" s="106"/>
      <c r="B27" s="127"/>
      <c r="C27" s="108" t="str">
        <f aca="false">CONCATENATE(A27,".",B27)</f>
        <v>.</v>
      </c>
      <c r="D27" s="129"/>
      <c r="E27" s="124"/>
      <c r="F27" s="119"/>
      <c r="G27" s="120"/>
      <c r="H27" s="120"/>
      <c r="I27" s="121"/>
      <c r="J27" s="124"/>
      <c r="K27" s="124"/>
      <c r="L27" s="124"/>
      <c r="M27" s="159"/>
      <c r="N27" s="160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customFormat="false" ht="27.75" hidden="false" customHeight="true" outlineLevel="0" collapsed="false">
      <c r="A28" s="106"/>
      <c r="B28" s="127"/>
      <c r="C28" s="108" t="str">
        <f aca="false">CONCATENATE(A28,".",B28)</f>
        <v>.</v>
      </c>
      <c r="D28" s="129"/>
      <c r="E28" s="124"/>
      <c r="F28" s="119"/>
      <c r="G28" s="120"/>
      <c r="H28" s="120"/>
      <c r="I28" s="121"/>
      <c r="J28" s="124"/>
      <c r="K28" s="124"/>
      <c r="L28" s="124"/>
      <c r="M28" s="159"/>
      <c r="N28" s="160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customFormat="false" ht="27.75" hidden="false" customHeight="true" outlineLevel="0" collapsed="false">
      <c r="A29" s="106"/>
      <c r="B29" s="127"/>
      <c r="C29" s="108" t="str">
        <f aca="false">CONCATENATE(A29,".",B29)</f>
        <v>.</v>
      </c>
      <c r="D29" s="129"/>
      <c r="E29" s="124"/>
      <c r="F29" s="119"/>
      <c r="G29" s="120"/>
      <c r="H29" s="120"/>
      <c r="I29" s="121"/>
      <c r="J29" s="124"/>
      <c r="K29" s="124"/>
      <c r="L29" s="124"/>
      <c r="M29" s="159"/>
      <c r="N29" s="160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customFormat="false" ht="27.75" hidden="false" customHeight="true" outlineLevel="0" collapsed="false">
      <c r="A30" s="106"/>
      <c r="B30" s="127"/>
      <c r="C30" s="108" t="str">
        <f aca="false">CONCATENATE(A30,".",B30)</f>
        <v>.</v>
      </c>
      <c r="D30" s="129"/>
      <c r="E30" s="124"/>
      <c r="F30" s="119"/>
      <c r="G30" s="120"/>
      <c r="H30" s="120"/>
      <c r="I30" s="121"/>
      <c r="J30" s="124"/>
      <c r="K30" s="124"/>
      <c r="L30" s="124"/>
      <c r="M30" s="159"/>
      <c r="N30" s="160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customFormat="false" ht="27.75" hidden="false" customHeight="true" outlineLevel="0" collapsed="false">
      <c r="A31" s="106"/>
      <c r="B31" s="127"/>
      <c r="C31" s="108" t="str">
        <f aca="false">CONCATENATE(A31,".",B31)</f>
        <v>.</v>
      </c>
      <c r="D31" s="129"/>
      <c r="E31" s="124"/>
      <c r="F31" s="119"/>
      <c r="G31" s="120"/>
      <c r="H31" s="120"/>
      <c r="I31" s="121"/>
      <c r="J31" s="124"/>
      <c r="K31" s="124"/>
      <c r="L31" s="124"/>
      <c r="M31" s="159"/>
      <c r="N31" s="160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customFormat="false" ht="27.75" hidden="false" customHeight="true" outlineLevel="0" collapsed="false">
      <c r="A32" s="106"/>
      <c r="B32" s="127"/>
      <c r="C32" s="108" t="str">
        <f aca="false">CONCATENATE(A32,".",B32)</f>
        <v>.</v>
      </c>
      <c r="D32" s="129"/>
      <c r="E32" s="124"/>
      <c r="F32" s="119"/>
      <c r="G32" s="120"/>
      <c r="H32" s="120"/>
      <c r="I32" s="121"/>
      <c r="J32" s="124"/>
      <c r="K32" s="124"/>
      <c r="L32" s="124"/>
      <c r="M32" s="159"/>
      <c r="N32" s="160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customFormat="false" ht="27.75" hidden="false" customHeight="true" outlineLevel="0" collapsed="false">
      <c r="A33" s="106"/>
      <c r="B33" s="127"/>
      <c r="C33" s="108" t="str">
        <f aca="false">CONCATENATE(A33,".",B33)</f>
        <v>.</v>
      </c>
      <c r="D33" s="129"/>
      <c r="E33" s="124"/>
      <c r="F33" s="119"/>
      <c r="G33" s="120"/>
      <c r="H33" s="120"/>
      <c r="I33" s="121"/>
      <c r="J33" s="124"/>
      <c r="K33" s="124"/>
      <c r="L33" s="124"/>
      <c r="M33" s="159"/>
      <c r="N33" s="160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customFormat="false" ht="27.75" hidden="false" customHeight="true" outlineLevel="0" collapsed="false">
      <c r="A34" s="106"/>
      <c r="B34" s="127"/>
      <c r="C34" s="108" t="str">
        <f aca="false">CONCATENATE(A34,".",B34)</f>
        <v>.</v>
      </c>
      <c r="D34" s="129"/>
      <c r="E34" s="124"/>
      <c r="F34" s="119"/>
      <c r="G34" s="120"/>
      <c r="H34" s="120"/>
      <c r="I34" s="121"/>
      <c r="J34" s="124"/>
      <c r="K34" s="124"/>
      <c r="L34" s="124"/>
      <c r="M34" s="159"/>
      <c r="N34" s="160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customFormat="false" ht="27.75" hidden="false" customHeight="true" outlineLevel="0" collapsed="false">
      <c r="A35" s="106"/>
      <c r="B35" s="127"/>
      <c r="C35" s="108" t="str">
        <f aca="false">CONCATENATE(A35,".",B35)</f>
        <v>.</v>
      </c>
      <c r="D35" s="129"/>
      <c r="E35" s="124"/>
      <c r="F35" s="119"/>
      <c r="G35" s="120"/>
      <c r="H35" s="120"/>
      <c r="I35" s="121"/>
      <c r="J35" s="124"/>
      <c r="K35" s="124"/>
      <c r="L35" s="124"/>
      <c r="M35" s="159"/>
      <c r="N35" s="160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customFormat="false" ht="27.75" hidden="false" customHeight="true" outlineLevel="0" collapsed="false">
      <c r="A36" s="106"/>
      <c r="B36" s="127"/>
      <c r="C36" s="108" t="str">
        <f aca="false">CONCATENATE(A36,".",B36)</f>
        <v>.</v>
      </c>
      <c r="D36" s="129"/>
      <c r="E36" s="124"/>
      <c r="F36" s="119"/>
      <c r="G36" s="120"/>
      <c r="H36" s="120"/>
      <c r="I36" s="121"/>
      <c r="J36" s="124"/>
      <c r="K36" s="124"/>
      <c r="L36" s="124"/>
      <c r="M36" s="159"/>
      <c r="N36" s="160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customFormat="false" ht="27.75" hidden="false" customHeight="true" outlineLevel="0" collapsed="false">
      <c r="A37" s="106"/>
      <c r="B37" s="127"/>
      <c r="C37" s="108" t="str">
        <f aca="false">CONCATENATE(A37,".",B37)</f>
        <v>.</v>
      </c>
      <c r="D37" s="129"/>
      <c r="E37" s="124"/>
      <c r="F37" s="119"/>
      <c r="G37" s="120"/>
      <c r="H37" s="120"/>
      <c r="I37" s="121"/>
      <c r="J37" s="124"/>
      <c r="K37" s="124"/>
      <c r="L37" s="124"/>
      <c r="M37" s="159"/>
      <c r="N37" s="160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customFormat="false" ht="27.75" hidden="false" customHeight="true" outlineLevel="0" collapsed="false">
      <c r="A38" s="106"/>
      <c r="B38" s="127"/>
      <c r="C38" s="108" t="str">
        <f aca="false">CONCATENATE(A38,".",B38)</f>
        <v>.</v>
      </c>
      <c r="D38" s="129"/>
      <c r="E38" s="124"/>
      <c r="F38" s="119"/>
      <c r="G38" s="120"/>
      <c r="H38" s="120"/>
      <c r="I38" s="121"/>
      <c r="J38" s="124"/>
      <c r="K38" s="124"/>
      <c r="L38" s="124"/>
      <c r="M38" s="159"/>
      <c r="N38" s="160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customFormat="false" ht="27.75" hidden="false" customHeight="true" outlineLevel="0" collapsed="false">
      <c r="A39" s="106"/>
      <c r="B39" s="127"/>
      <c r="C39" s="108" t="str">
        <f aca="false">CONCATENATE(A39,".",B39)</f>
        <v>.</v>
      </c>
      <c r="D39" s="129"/>
      <c r="E39" s="124"/>
      <c r="F39" s="119"/>
      <c r="G39" s="120"/>
      <c r="H39" s="120"/>
      <c r="I39" s="121"/>
      <c r="J39" s="124"/>
      <c r="K39" s="124"/>
      <c r="L39" s="124"/>
      <c r="M39" s="159"/>
      <c r="N39" s="160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customFormat="false" ht="27.75" hidden="false" customHeight="true" outlineLevel="0" collapsed="false">
      <c r="A40" s="106"/>
      <c r="B40" s="127"/>
      <c r="C40" s="108" t="str">
        <f aca="false">CONCATENATE(A40,".",B40)</f>
        <v>.</v>
      </c>
      <c r="D40" s="129"/>
      <c r="E40" s="124"/>
      <c r="F40" s="119"/>
      <c r="G40" s="120"/>
      <c r="H40" s="120"/>
      <c r="I40" s="121"/>
      <c r="J40" s="124"/>
      <c r="K40" s="124"/>
      <c r="L40" s="124"/>
      <c r="M40" s="159"/>
      <c r="N40" s="160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customFormat="false" ht="27.75" hidden="false" customHeight="true" outlineLevel="0" collapsed="false">
      <c r="A41" s="106"/>
      <c r="B41" s="127"/>
      <c r="C41" s="108" t="str">
        <f aca="false">CONCATENATE(A41,".",B41)</f>
        <v>.</v>
      </c>
      <c r="D41" s="129"/>
      <c r="E41" s="124"/>
      <c r="F41" s="119"/>
      <c r="G41" s="120"/>
      <c r="H41" s="120"/>
      <c r="I41" s="121"/>
      <c r="J41" s="124"/>
      <c r="K41" s="124"/>
      <c r="L41" s="124"/>
      <c r="M41" s="159"/>
      <c r="N41" s="160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customFormat="false" ht="27.75" hidden="false" customHeight="true" outlineLevel="0" collapsed="false">
      <c r="A42" s="106"/>
      <c r="B42" s="127"/>
      <c r="C42" s="108" t="str">
        <f aca="false">CONCATENATE(A42,".",B42)</f>
        <v>.</v>
      </c>
      <c r="D42" s="129"/>
      <c r="E42" s="124"/>
      <c r="F42" s="119"/>
      <c r="G42" s="120"/>
      <c r="H42" s="120"/>
      <c r="I42" s="121"/>
      <c r="J42" s="124"/>
      <c r="K42" s="124"/>
      <c r="L42" s="124"/>
      <c r="M42" s="159"/>
      <c r="N42" s="160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customFormat="false" ht="27.75" hidden="false" customHeight="true" outlineLevel="0" collapsed="false">
      <c r="A43" s="106"/>
      <c r="B43" s="127"/>
      <c r="C43" s="108" t="str">
        <f aca="false">CONCATENATE(A43,".",B43)</f>
        <v>.</v>
      </c>
      <c r="D43" s="129"/>
      <c r="E43" s="124"/>
      <c r="F43" s="119"/>
      <c r="G43" s="120"/>
      <c r="H43" s="120"/>
      <c r="I43" s="121"/>
      <c r="J43" s="124"/>
      <c r="K43" s="124"/>
      <c r="L43" s="124"/>
      <c r="M43" s="159"/>
      <c r="N43" s="160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customFormat="false" ht="27.75" hidden="false" customHeight="true" outlineLevel="0" collapsed="false">
      <c r="A44" s="106"/>
      <c r="B44" s="127"/>
      <c r="C44" s="108" t="str">
        <f aca="false">CONCATENATE(A44,".",B44)</f>
        <v>.</v>
      </c>
      <c r="D44" s="129"/>
      <c r="E44" s="124"/>
      <c r="F44" s="119"/>
      <c r="G44" s="120"/>
      <c r="H44" s="120"/>
      <c r="I44" s="121"/>
      <c r="J44" s="124"/>
      <c r="K44" s="124"/>
      <c r="L44" s="124"/>
      <c r="M44" s="159"/>
      <c r="N44" s="160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customFormat="false" ht="27.75" hidden="false" customHeight="true" outlineLevel="0" collapsed="false">
      <c r="A45" s="106"/>
      <c r="B45" s="127"/>
      <c r="C45" s="108" t="str">
        <f aca="false">CONCATENATE(A45,".",B45)</f>
        <v>.</v>
      </c>
      <c r="D45" s="129"/>
      <c r="E45" s="124"/>
      <c r="F45" s="119"/>
      <c r="G45" s="120"/>
      <c r="H45" s="120"/>
      <c r="I45" s="121"/>
      <c r="J45" s="124"/>
      <c r="K45" s="124"/>
      <c r="L45" s="124"/>
      <c r="M45" s="159"/>
      <c r="N45" s="160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customFormat="false" ht="27.75" hidden="false" customHeight="true" outlineLevel="0" collapsed="false">
      <c r="A46" s="106"/>
      <c r="B46" s="127"/>
      <c r="C46" s="108" t="str">
        <f aca="false">CONCATENATE(A46,".",B46)</f>
        <v>.</v>
      </c>
      <c r="D46" s="129"/>
      <c r="E46" s="124"/>
      <c r="F46" s="119"/>
      <c r="G46" s="120"/>
      <c r="H46" s="120"/>
      <c r="I46" s="121"/>
      <c r="J46" s="124"/>
      <c r="K46" s="124"/>
      <c r="L46" s="124"/>
      <c r="M46" s="159"/>
      <c r="N46" s="160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47" customFormat="false" ht="27.75" hidden="false" customHeight="true" outlineLevel="0" collapsed="false">
      <c r="A47" s="106"/>
      <c r="B47" s="127"/>
      <c r="C47" s="108" t="str">
        <f aca="false">CONCATENATE(A47,".",B47)</f>
        <v>.</v>
      </c>
      <c r="D47" s="129"/>
      <c r="E47" s="124"/>
      <c r="F47" s="119"/>
      <c r="G47" s="120"/>
      <c r="H47" s="120"/>
      <c r="I47" s="121"/>
      <c r="J47" s="124"/>
      <c r="K47" s="124"/>
      <c r="L47" s="124"/>
      <c r="M47" s="159"/>
      <c r="N47" s="160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customFormat="false" ht="27.75" hidden="false" customHeight="true" outlineLevel="0" collapsed="false">
      <c r="A48" s="106"/>
      <c r="B48" s="127"/>
      <c r="C48" s="108" t="str">
        <f aca="false">CONCATENATE(A48,".",B48)</f>
        <v>.</v>
      </c>
      <c r="D48" s="129"/>
      <c r="E48" s="124"/>
      <c r="F48" s="119"/>
      <c r="G48" s="120"/>
      <c r="H48" s="120"/>
      <c r="I48" s="121"/>
      <c r="J48" s="124"/>
      <c r="K48" s="124"/>
      <c r="L48" s="124"/>
      <c r="M48" s="159"/>
      <c r="N48" s="160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customFormat="false" ht="27.75" hidden="false" customHeight="true" outlineLevel="0" collapsed="false">
      <c r="A49" s="106"/>
      <c r="B49" s="127"/>
      <c r="C49" s="108" t="str">
        <f aca="false">CONCATENATE(A49,".",B49)</f>
        <v>.</v>
      </c>
      <c r="D49" s="129"/>
      <c r="E49" s="124"/>
      <c r="F49" s="119"/>
      <c r="G49" s="120"/>
      <c r="H49" s="120"/>
      <c r="I49" s="121"/>
      <c r="J49" s="124"/>
      <c r="K49" s="124"/>
      <c r="L49" s="124"/>
      <c r="M49" s="159"/>
      <c r="N49" s="160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</row>
    <row r="50" customFormat="false" ht="27.75" hidden="false" customHeight="true" outlineLevel="0" collapsed="false">
      <c r="A50" s="106"/>
      <c r="B50" s="127"/>
      <c r="C50" s="137" t="str">
        <f aca="false">CONCATENATE(A50,".",B50)</f>
        <v>.</v>
      </c>
      <c r="D50" s="129"/>
      <c r="E50" s="124"/>
      <c r="F50" s="119"/>
      <c r="G50" s="120"/>
      <c r="H50" s="120"/>
      <c r="I50" s="121"/>
      <c r="J50" s="124"/>
      <c r="K50" s="124"/>
      <c r="L50" s="124"/>
      <c r="M50" s="124"/>
      <c r="N50" s="123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</row>
    <row r="51" customFormat="false" ht="27.75" hidden="false" customHeight="true" outlineLevel="0" collapsed="false">
      <c r="A51" s="106"/>
      <c r="B51" s="127"/>
      <c r="C51" s="137" t="str">
        <f aca="false">CONCATENATE(A51,".",B51)</f>
        <v>.</v>
      </c>
      <c r="D51" s="129"/>
      <c r="E51" s="124"/>
      <c r="F51" s="119"/>
      <c r="G51" s="120"/>
      <c r="H51" s="120"/>
      <c r="I51" s="121"/>
      <c r="J51" s="124"/>
      <c r="K51" s="124"/>
      <c r="L51" s="124"/>
      <c r="M51" s="124"/>
      <c r="N51" s="123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customFormat="false" ht="27.75" hidden="false" customHeight="true" outlineLevel="0" collapsed="false">
      <c r="A52" s="106"/>
      <c r="B52" s="127"/>
      <c r="C52" s="137" t="str">
        <f aca="false">CONCATENATE(A52,".",B52)</f>
        <v>.</v>
      </c>
      <c r="D52" s="129"/>
      <c r="E52" s="124"/>
      <c r="F52" s="119"/>
      <c r="G52" s="120"/>
      <c r="H52" s="120"/>
      <c r="I52" s="121"/>
      <c r="J52" s="124"/>
      <c r="K52" s="124"/>
      <c r="L52" s="124"/>
      <c r="M52" s="124"/>
      <c r="N52" s="123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customFormat="false" ht="27.75" hidden="false" customHeight="true" outlineLevel="0" collapsed="false">
      <c r="A53" s="106"/>
      <c r="B53" s="127"/>
      <c r="C53" s="137" t="str">
        <f aca="false">CONCATENATE(A53,".",B53)</f>
        <v>.</v>
      </c>
      <c r="D53" s="129"/>
      <c r="E53" s="124"/>
      <c r="F53" s="119"/>
      <c r="G53" s="120"/>
      <c r="H53" s="120"/>
      <c r="I53" s="121"/>
      <c r="J53" s="124"/>
      <c r="K53" s="124"/>
      <c r="L53" s="124"/>
      <c r="M53" s="124"/>
      <c r="N53" s="12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</row>
    <row r="54" customFormat="false" ht="27.75" hidden="false" customHeight="true" outlineLevel="0" collapsed="false">
      <c r="A54" s="106"/>
      <c r="B54" s="127"/>
      <c r="C54" s="137" t="str">
        <f aca="false">CONCATENATE(A54,".",B54)</f>
        <v>.</v>
      </c>
      <c r="D54" s="129"/>
      <c r="E54" s="124"/>
      <c r="F54" s="119"/>
      <c r="G54" s="120"/>
      <c r="H54" s="120"/>
      <c r="I54" s="121"/>
      <c r="J54" s="124"/>
      <c r="K54" s="124"/>
      <c r="L54" s="124"/>
      <c r="M54" s="124"/>
      <c r="N54" s="123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customFormat="false" ht="27.75" hidden="false" customHeight="true" outlineLevel="0" collapsed="false">
      <c r="A55" s="106"/>
      <c r="B55" s="127"/>
      <c r="C55" s="137" t="str">
        <f aca="false">CONCATENATE(A55,".",B55)</f>
        <v>.</v>
      </c>
      <c r="D55" s="129"/>
      <c r="E55" s="124"/>
      <c r="F55" s="119"/>
      <c r="G55" s="120"/>
      <c r="H55" s="120"/>
      <c r="I55" s="121"/>
      <c r="J55" s="124"/>
      <c r="K55" s="124"/>
      <c r="L55" s="124"/>
      <c r="M55" s="124"/>
      <c r="N55" s="123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customFormat="false" ht="27.75" hidden="false" customHeight="true" outlineLevel="0" collapsed="false">
      <c r="A56" s="106"/>
      <c r="B56" s="127"/>
      <c r="C56" s="137" t="str">
        <f aca="false">CONCATENATE(A56,".",B56)</f>
        <v>.</v>
      </c>
      <c r="D56" s="129"/>
      <c r="E56" s="124"/>
      <c r="F56" s="119"/>
      <c r="G56" s="120"/>
      <c r="H56" s="120"/>
      <c r="I56" s="121"/>
      <c r="J56" s="124"/>
      <c r="K56" s="124"/>
      <c r="L56" s="124"/>
      <c r="M56" s="124"/>
      <c r="N56" s="123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customFormat="false" ht="27.75" hidden="false" customHeight="true" outlineLevel="0" collapsed="false">
      <c r="A57" s="106"/>
      <c r="B57" s="127"/>
      <c r="C57" s="137" t="str">
        <f aca="false">CONCATENATE(A57,".",B57)</f>
        <v>.</v>
      </c>
      <c r="D57" s="129"/>
      <c r="E57" s="124"/>
      <c r="F57" s="119"/>
      <c r="G57" s="120"/>
      <c r="H57" s="120"/>
      <c r="I57" s="121"/>
      <c r="J57" s="124"/>
      <c r="K57" s="124"/>
      <c r="L57" s="124"/>
      <c r="M57" s="124"/>
      <c r="N57" s="123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customFormat="false" ht="27.75" hidden="false" customHeight="true" outlineLevel="0" collapsed="false">
      <c r="A58" s="106"/>
      <c r="B58" s="127"/>
      <c r="C58" s="137" t="str">
        <f aca="false">CONCATENATE(A58,".",B58)</f>
        <v>.</v>
      </c>
      <c r="D58" s="129"/>
      <c r="E58" s="124"/>
      <c r="F58" s="119"/>
      <c r="G58" s="120"/>
      <c r="H58" s="120"/>
      <c r="I58" s="121"/>
      <c r="J58" s="124"/>
      <c r="K58" s="124"/>
      <c r="L58" s="124"/>
      <c r="M58" s="124"/>
      <c r="N58" s="123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customFormat="false" ht="27.75" hidden="false" customHeight="true" outlineLevel="0" collapsed="false">
      <c r="A59" s="106"/>
      <c r="B59" s="127"/>
      <c r="C59" s="137" t="str">
        <f aca="false">CONCATENATE(A59,".",B59)</f>
        <v>.</v>
      </c>
      <c r="D59" s="129"/>
      <c r="E59" s="124"/>
      <c r="F59" s="119"/>
      <c r="G59" s="120"/>
      <c r="H59" s="120"/>
      <c r="I59" s="121"/>
      <c r="J59" s="124"/>
      <c r="K59" s="124"/>
      <c r="L59" s="124"/>
      <c r="M59" s="124"/>
      <c r="N59" s="123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customFormat="false" ht="27.75" hidden="false" customHeight="true" outlineLevel="0" collapsed="false">
      <c r="A60" s="106"/>
      <c r="B60" s="127"/>
      <c r="C60" s="137" t="str">
        <f aca="false">CONCATENATE(A60,".",B60)</f>
        <v>.</v>
      </c>
      <c r="D60" s="129"/>
      <c r="E60" s="124"/>
      <c r="F60" s="119"/>
      <c r="G60" s="120"/>
      <c r="H60" s="120"/>
      <c r="I60" s="121"/>
      <c r="J60" s="124"/>
      <c r="K60" s="124"/>
      <c r="L60" s="124"/>
      <c r="M60" s="124"/>
      <c r="N60" s="123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customFormat="false" ht="27.75" hidden="false" customHeight="true" outlineLevel="0" collapsed="false">
      <c r="A61" s="106"/>
      <c r="B61" s="127"/>
      <c r="C61" s="137" t="str">
        <f aca="false">CONCATENATE(A61,".",B61)</f>
        <v>.</v>
      </c>
      <c r="D61" s="129"/>
      <c r="E61" s="124"/>
      <c r="F61" s="119"/>
      <c r="G61" s="120"/>
      <c r="H61" s="120"/>
      <c r="I61" s="121"/>
      <c r="J61" s="124"/>
      <c r="K61" s="124"/>
      <c r="L61" s="124"/>
      <c r="M61" s="124"/>
      <c r="N61" s="123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customFormat="false" ht="27.75" hidden="false" customHeight="true" outlineLevel="0" collapsed="false">
      <c r="A62" s="106"/>
      <c r="B62" s="127"/>
      <c r="C62" s="137" t="str">
        <f aca="false">CONCATENATE(A62,".",B62)</f>
        <v>.</v>
      </c>
      <c r="D62" s="129"/>
      <c r="E62" s="124"/>
      <c r="F62" s="119"/>
      <c r="G62" s="120"/>
      <c r="H62" s="120"/>
      <c r="I62" s="121"/>
      <c r="J62" s="124"/>
      <c r="K62" s="124"/>
      <c r="L62" s="124"/>
      <c r="M62" s="124"/>
      <c r="N62" s="12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</row>
    <row r="63" customFormat="false" ht="27.75" hidden="false" customHeight="true" outlineLevel="0" collapsed="false">
      <c r="A63" s="106"/>
      <c r="B63" s="127"/>
      <c r="C63" s="137" t="str">
        <f aca="false">CONCATENATE(A63,".",B63)</f>
        <v>.</v>
      </c>
      <c r="D63" s="129"/>
      <c r="E63" s="124"/>
      <c r="F63" s="119"/>
      <c r="G63" s="120"/>
      <c r="H63" s="120"/>
      <c r="I63" s="121"/>
      <c r="J63" s="124"/>
      <c r="K63" s="124"/>
      <c r="L63" s="124"/>
      <c r="M63" s="124"/>
      <c r="N63" s="123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</row>
    <row r="64" customFormat="false" ht="27.75" hidden="false" customHeight="true" outlineLevel="0" collapsed="false">
      <c r="A64" s="106"/>
      <c r="B64" s="127"/>
      <c r="C64" s="137" t="str">
        <f aca="false">CONCATENATE(A64,".",B64)</f>
        <v>.</v>
      </c>
      <c r="D64" s="129"/>
      <c r="E64" s="124"/>
      <c r="F64" s="119"/>
      <c r="G64" s="120"/>
      <c r="H64" s="120"/>
      <c r="I64" s="121"/>
      <c r="J64" s="124"/>
      <c r="K64" s="124"/>
      <c r="L64" s="124"/>
      <c r="M64" s="124"/>
      <c r="N64" s="123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</row>
    <row r="65" customFormat="false" ht="27.75" hidden="false" customHeight="true" outlineLevel="0" collapsed="false">
      <c r="A65" s="106"/>
      <c r="B65" s="127"/>
      <c r="C65" s="137" t="str">
        <f aca="false">CONCATENATE(A65,".",B65)</f>
        <v>.</v>
      </c>
      <c r="D65" s="129"/>
      <c r="E65" s="124"/>
      <c r="F65" s="119"/>
      <c r="G65" s="120"/>
      <c r="H65" s="120"/>
      <c r="I65" s="121"/>
      <c r="J65" s="124"/>
      <c r="K65" s="124"/>
      <c r="L65" s="124"/>
      <c r="M65" s="124"/>
      <c r="N65" s="123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</row>
    <row r="66" customFormat="false" ht="27.75" hidden="false" customHeight="true" outlineLevel="0" collapsed="false">
      <c r="A66" s="106"/>
      <c r="B66" s="127"/>
      <c r="C66" s="137" t="str">
        <f aca="false">CONCATENATE(A66,".",B66)</f>
        <v>.</v>
      </c>
      <c r="D66" s="129"/>
      <c r="E66" s="124"/>
      <c r="F66" s="119"/>
      <c r="G66" s="120"/>
      <c r="H66" s="120"/>
      <c r="I66" s="121"/>
      <c r="J66" s="124"/>
      <c r="K66" s="124"/>
      <c r="L66" s="124"/>
      <c r="M66" s="124"/>
      <c r="N66" s="12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</row>
    <row r="67" customFormat="false" ht="27.75" hidden="false" customHeight="true" outlineLevel="0" collapsed="false">
      <c r="A67" s="106"/>
      <c r="B67" s="127"/>
      <c r="C67" s="137" t="str">
        <f aca="false">CONCATENATE(A67,".",B67)</f>
        <v>.</v>
      </c>
      <c r="D67" s="129"/>
      <c r="E67" s="124"/>
      <c r="F67" s="119"/>
      <c r="G67" s="120"/>
      <c r="H67" s="120"/>
      <c r="I67" s="121"/>
      <c r="J67" s="124"/>
      <c r="K67" s="124"/>
      <c r="L67" s="124"/>
      <c r="M67" s="124"/>
      <c r="N67" s="12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customFormat="false" ht="27.75" hidden="false" customHeight="true" outlineLevel="0" collapsed="false">
      <c r="A68" s="106"/>
      <c r="B68" s="127"/>
      <c r="C68" s="137" t="str">
        <f aca="false">CONCATENATE(A68,".",B68)</f>
        <v>.</v>
      </c>
      <c r="D68" s="129"/>
      <c r="E68" s="124"/>
      <c r="F68" s="119"/>
      <c r="G68" s="120"/>
      <c r="H68" s="120"/>
      <c r="I68" s="121"/>
      <c r="J68" s="124"/>
      <c r="K68" s="124"/>
      <c r="L68" s="124"/>
      <c r="M68" s="124"/>
      <c r="N68" s="12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customFormat="false" ht="27.75" hidden="false" customHeight="true" outlineLevel="0" collapsed="false">
      <c r="A69" s="106"/>
      <c r="B69" s="127"/>
      <c r="C69" s="137" t="str">
        <f aca="false">CONCATENATE(A69,".",B69)</f>
        <v>.</v>
      </c>
      <c r="D69" s="129"/>
      <c r="E69" s="124"/>
      <c r="F69" s="119"/>
      <c r="G69" s="120"/>
      <c r="H69" s="120"/>
      <c r="I69" s="121"/>
      <c r="J69" s="124"/>
      <c r="K69" s="124"/>
      <c r="L69" s="124"/>
      <c r="M69" s="124"/>
      <c r="N69" s="123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customFormat="false" ht="27.75" hidden="false" customHeight="true" outlineLevel="0" collapsed="false">
      <c r="A70" s="106"/>
      <c r="B70" s="127"/>
      <c r="C70" s="137" t="str">
        <f aca="false">CONCATENATE(A70,".",B70)</f>
        <v>.</v>
      </c>
      <c r="D70" s="129"/>
      <c r="E70" s="124"/>
      <c r="F70" s="119"/>
      <c r="G70" s="120"/>
      <c r="H70" s="120"/>
      <c r="I70" s="121"/>
      <c r="J70" s="124"/>
      <c r="K70" s="124"/>
      <c r="L70" s="124"/>
      <c r="M70" s="124"/>
      <c r="N70" s="12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customFormat="false" ht="27.75" hidden="false" customHeight="true" outlineLevel="0" collapsed="false">
      <c r="A71" s="106"/>
      <c r="B71" s="127"/>
      <c r="C71" s="137" t="str">
        <f aca="false">CONCATENATE(A71,".",B71)</f>
        <v>.</v>
      </c>
      <c r="D71" s="129"/>
      <c r="E71" s="124"/>
      <c r="F71" s="119"/>
      <c r="G71" s="120"/>
      <c r="H71" s="120"/>
      <c r="I71" s="121"/>
      <c r="J71" s="124"/>
      <c r="K71" s="124"/>
      <c r="L71" s="124"/>
      <c r="M71" s="124"/>
      <c r="N71" s="123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customFormat="false" ht="27.75" hidden="false" customHeight="true" outlineLevel="0" collapsed="false">
      <c r="A72" s="106"/>
      <c r="B72" s="127"/>
      <c r="C72" s="137" t="str">
        <f aca="false">CONCATENATE(A72,".",B72)</f>
        <v>.</v>
      </c>
      <c r="D72" s="129"/>
      <c r="E72" s="124"/>
      <c r="F72" s="119"/>
      <c r="G72" s="120"/>
      <c r="H72" s="120"/>
      <c r="I72" s="121"/>
      <c r="J72" s="124"/>
      <c r="K72" s="124"/>
      <c r="L72" s="124"/>
      <c r="M72" s="124"/>
      <c r="N72" s="123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customFormat="false" ht="27.75" hidden="false" customHeight="true" outlineLevel="0" collapsed="false">
      <c r="A73" s="106"/>
      <c r="B73" s="127"/>
      <c r="C73" s="137" t="str">
        <f aca="false">CONCATENATE(A73,".",B73)</f>
        <v>.</v>
      </c>
      <c r="D73" s="129"/>
      <c r="E73" s="124"/>
      <c r="F73" s="119"/>
      <c r="G73" s="120"/>
      <c r="H73" s="120"/>
      <c r="I73" s="121"/>
      <c r="J73" s="124"/>
      <c r="K73" s="124"/>
      <c r="L73" s="124"/>
      <c r="M73" s="124"/>
      <c r="N73" s="123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customFormat="false" ht="27.75" hidden="false" customHeight="true" outlineLevel="0" collapsed="false">
      <c r="A74" s="106"/>
      <c r="B74" s="127"/>
      <c r="C74" s="137" t="str">
        <f aca="false">CONCATENATE(A74,".",B74)</f>
        <v>.</v>
      </c>
      <c r="D74" s="129"/>
      <c r="E74" s="124"/>
      <c r="F74" s="119"/>
      <c r="G74" s="120"/>
      <c r="H74" s="120"/>
      <c r="I74" s="121"/>
      <c r="J74" s="124"/>
      <c r="K74" s="124"/>
      <c r="L74" s="124"/>
      <c r="M74" s="124"/>
      <c r="N74" s="123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customFormat="false" ht="27.75" hidden="false" customHeight="true" outlineLevel="0" collapsed="false">
      <c r="A75" s="106"/>
      <c r="B75" s="127"/>
      <c r="C75" s="137" t="str">
        <f aca="false">CONCATENATE(A75,".",B75)</f>
        <v>.</v>
      </c>
      <c r="D75" s="129"/>
      <c r="E75" s="124"/>
      <c r="F75" s="119"/>
      <c r="G75" s="120"/>
      <c r="H75" s="120"/>
      <c r="I75" s="121"/>
      <c r="J75" s="124"/>
      <c r="K75" s="124"/>
      <c r="L75" s="124"/>
      <c r="M75" s="124"/>
      <c r="N75" s="123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customFormat="false" ht="27.75" hidden="false" customHeight="true" outlineLevel="0" collapsed="false">
      <c r="A76" s="106"/>
      <c r="B76" s="127"/>
      <c r="C76" s="137" t="str">
        <f aca="false">CONCATENATE(A76,".",B76)</f>
        <v>.</v>
      </c>
      <c r="D76" s="129"/>
      <c r="E76" s="124"/>
      <c r="F76" s="119"/>
      <c r="G76" s="120"/>
      <c r="H76" s="120"/>
      <c r="I76" s="121"/>
      <c r="J76" s="124"/>
      <c r="K76" s="124"/>
      <c r="L76" s="124"/>
      <c r="M76" s="124"/>
      <c r="N76" s="123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customFormat="false" ht="27.75" hidden="false" customHeight="true" outlineLevel="0" collapsed="false">
      <c r="A77" s="106"/>
      <c r="B77" s="127"/>
      <c r="C77" s="137" t="str">
        <f aca="false">CONCATENATE(A77,".",B77)</f>
        <v>.</v>
      </c>
      <c r="D77" s="129"/>
      <c r="E77" s="124"/>
      <c r="F77" s="119"/>
      <c r="G77" s="120"/>
      <c r="H77" s="120"/>
      <c r="I77" s="121"/>
      <c r="J77" s="124"/>
      <c r="K77" s="124"/>
      <c r="L77" s="124"/>
      <c r="M77" s="124"/>
      <c r="N77" s="123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customFormat="false" ht="27.75" hidden="false" customHeight="true" outlineLevel="0" collapsed="false">
      <c r="A78" s="106"/>
      <c r="B78" s="127"/>
      <c r="C78" s="137" t="str">
        <f aca="false">CONCATENATE(A78,".",B78)</f>
        <v>.</v>
      </c>
      <c r="D78" s="129"/>
      <c r="E78" s="124"/>
      <c r="F78" s="119"/>
      <c r="G78" s="120"/>
      <c r="H78" s="120"/>
      <c r="I78" s="121"/>
      <c r="J78" s="124"/>
      <c r="K78" s="124"/>
      <c r="L78" s="124"/>
      <c r="M78" s="124"/>
      <c r="N78" s="123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customFormat="false" ht="27.75" hidden="false" customHeight="true" outlineLevel="0" collapsed="false">
      <c r="A79" s="106"/>
      <c r="B79" s="127"/>
      <c r="C79" s="137" t="str">
        <f aca="false">CONCATENATE(A79,".",B79)</f>
        <v>.</v>
      </c>
      <c r="D79" s="129"/>
      <c r="E79" s="124"/>
      <c r="F79" s="119"/>
      <c r="G79" s="120"/>
      <c r="H79" s="120"/>
      <c r="I79" s="121"/>
      <c r="J79" s="124"/>
      <c r="K79" s="124"/>
      <c r="L79" s="124"/>
      <c r="M79" s="124"/>
      <c r="N79" s="123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customFormat="false" ht="27.75" hidden="false" customHeight="true" outlineLevel="0" collapsed="false">
      <c r="A80" s="106"/>
      <c r="B80" s="127"/>
      <c r="C80" s="137" t="str">
        <f aca="false">CONCATENATE(A80,".",B80)</f>
        <v>.</v>
      </c>
      <c r="D80" s="129"/>
      <c r="E80" s="124"/>
      <c r="F80" s="119"/>
      <c r="G80" s="120"/>
      <c r="H80" s="120"/>
      <c r="I80" s="121"/>
      <c r="J80" s="124"/>
      <c r="K80" s="124"/>
      <c r="L80" s="124"/>
      <c r="M80" s="124"/>
      <c r="N80" s="123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customFormat="false" ht="27.75" hidden="false" customHeight="true" outlineLevel="0" collapsed="false">
      <c r="A81" s="106"/>
      <c r="B81" s="127"/>
      <c r="C81" s="137" t="str">
        <f aca="false">CONCATENATE(A81,".",B81)</f>
        <v>.</v>
      </c>
      <c r="D81" s="129"/>
      <c r="E81" s="124"/>
      <c r="F81" s="119"/>
      <c r="G81" s="120"/>
      <c r="H81" s="120"/>
      <c r="I81" s="121"/>
      <c r="J81" s="124"/>
      <c r="K81" s="124"/>
      <c r="L81" s="124"/>
      <c r="M81" s="124"/>
      <c r="N81" s="123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customFormat="false" ht="27.75" hidden="false" customHeight="true" outlineLevel="0" collapsed="false">
      <c r="A82" s="106"/>
      <c r="B82" s="127"/>
      <c r="C82" s="137" t="str">
        <f aca="false">CONCATENATE(A82,".",B82)</f>
        <v>.</v>
      </c>
      <c r="D82" s="129"/>
      <c r="E82" s="124"/>
      <c r="F82" s="119"/>
      <c r="G82" s="120"/>
      <c r="H82" s="120"/>
      <c r="I82" s="121"/>
      <c r="J82" s="124"/>
      <c r="K82" s="124"/>
      <c r="L82" s="124"/>
      <c r="M82" s="124"/>
      <c r="N82" s="123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customFormat="false" ht="27.75" hidden="false" customHeight="true" outlineLevel="0" collapsed="false">
      <c r="A83" s="106"/>
      <c r="B83" s="127"/>
      <c r="C83" s="137" t="str">
        <f aca="false">CONCATENATE(A83,".",B83)</f>
        <v>.</v>
      </c>
      <c r="D83" s="129"/>
      <c r="E83" s="124"/>
      <c r="F83" s="119"/>
      <c r="G83" s="120"/>
      <c r="H83" s="120"/>
      <c r="I83" s="121"/>
      <c r="J83" s="124"/>
      <c r="K83" s="124"/>
      <c r="L83" s="124"/>
      <c r="M83" s="124"/>
      <c r="N83" s="123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customFormat="false" ht="27.75" hidden="false" customHeight="true" outlineLevel="0" collapsed="false">
      <c r="A84" s="106"/>
      <c r="B84" s="127"/>
      <c r="C84" s="137" t="str">
        <f aca="false">CONCATENATE(A84,".",B84)</f>
        <v>.</v>
      </c>
      <c r="D84" s="129"/>
      <c r="E84" s="124"/>
      <c r="F84" s="119"/>
      <c r="G84" s="120"/>
      <c r="H84" s="120"/>
      <c r="I84" s="121"/>
      <c r="J84" s="124"/>
      <c r="K84" s="124"/>
      <c r="L84" s="124"/>
      <c r="M84" s="124"/>
      <c r="N84" s="123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customFormat="false" ht="27.75" hidden="false" customHeight="true" outlineLevel="0" collapsed="false">
      <c r="A85" s="106"/>
      <c r="B85" s="127"/>
      <c r="C85" s="137" t="str">
        <f aca="false">CONCATENATE(A85,".",B85)</f>
        <v>.</v>
      </c>
      <c r="D85" s="129"/>
      <c r="E85" s="124"/>
      <c r="F85" s="119"/>
      <c r="G85" s="120"/>
      <c r="H85" s="120"/>
      <c r="I85" s="121"/>
      <c r="J85" s="124"/>
      <c r="K85" s="124"/>
      <c r="L85" s="124"/>
      <c r="M85" s="124"/>
      <c r="N85" s="123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customFormat="false" ht="27.75" hidden="false" customHeight="true" outlineLevel="0" collapsed="false">
      <c r="A86" s="106"/>
      <c r="B86" s="127"/>
      <c r="C86" s="137" t="str">
        <f aca="false">CONCATENATE(A86,".",B86)</f>
        <v>.</v>
      </c>
      <c r="D86" s="129"/>
      <c r="E86" s="124"/>
      <c r="F86" s="119"/>
      <c r="G86" s="120"/>
      <c r="H86" s="120"/>
      <c r="I86" s="121"/>
      <c r="J86" s="124"/>
      <c r="K86" s="124"/>
      <c r="L86" s="124"/>
      <c r="M86" s="124"/>
      <c r="N86" s="123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customFormat="false" ht="27.75" hidden="false" customHeight="true" outlineLevel="0" collapsed="false">
      <c r="A87" s="106"/>
      <c r="B87" s="127"/>
      <c r="C87" s="137" t="str">
        <f aca="false">CONCATENATE(A87,".",B87)</f>
        <v>.</v>
      </c>
      <c r="D87" s="129"/>
      <c r="E87" s="124"/>
      <c r="F87" s="119"/>
      <c r="G87" s="120"/>
      <c r="H87" s="120"/>
      <c r="I87" s="121"/>
      <c r="J87" s="124"/>
      <c r="K87" s="124"/>
      <c r="L87" s="124"/>
      <c r="M87" s="124"/>
      <c r="N87" s="123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customFormat="false" ht="27.75" hidden="false" customHeight="true" outlineLevel="0" collapsed="false">
      <c r="A88" s="106"/>
      <c r="B88" s="127"/>
      <c r="C88" s="137" t="str">
        <f aca="false">CONCATENATE(A88,".",B88)</f>
        <v>.</v>
      </c>
      <c r="D88" s="129"/>
      <c r="E88" s="124"/>
      <c r="F88" s="119"/>
      <c r="G88" s="120"/>
      <c r="H88" s="120"/>
      <c r="I88" s="121"/>
      <c r="J88" s="124"/>
      <c r="K88" s="124"/>
      <c r="L88" s="124"/>
      <c r="M88" s="124"/>
      <c r="N88" s="123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customFormat="false" ht="27.75" hidden="false" customHeight="true" outlineLevel="0" collapsed="false">
      <c r="A89" s="106"/>
      <c r="B89" s="127"/>
      <c r="C89" s="137" t="str">
        <f aca="false">CONCATENATE(A89,".",B89)</f>
        <v>.</v>
      </c>
      <c r="D89" s="129"/>
      <c r="E89" s="124"/>
      <c r="F89" s="119"/>
      <c r="G89" s="120"/>
      <c r="H89" s="120"/>
      <c r="I89" s="121"/>
      <c r="J89" s="124"/>
      <c r="K89" s="124"/>
      <c r="L89" s="124"/>
      <c r="M89" s="124"/>
      <c r="N89" s="123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customFormat="false" ht="27.75" hidden="false" customHeight="true" outlineLevel="0" collapsed="false">
      <c r="A90" s="106"/>
      <c r="B90" s="127"/>
      <c r="C90" s="137" t="str">
        <f aca="false">CONCATENATE(A90,".",B90)</f>
        <v>.</v>
      </c>
      <c r="D90" s="129"/>
      <c r="E90" s="124"/>
      <c r="F90" s="119"/>
      <c r="G90" s="120"/>
      <c r="H90" s="120"/>
      <c r="I90" s="121"/>
      <c r="J90" s="124"/>
      <c r="K90" s="124"/>
      <c r="L90" s="124"/>
      <c r="M90" s="124"/>
      <c r="N90" s="123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</row>
    <row r="91" customFormat="false" ht="27.75" hidden="false" customHeight="true" outlineLevel="0" collapsed="false">
      <c r="A91" s="106"/>
      <c r="B91" s="127"/>
      <c r="C91" s="137" t="str">
        <f aca="false">CONCATENATE(A91,".",B91)</f>
        <v>.</v>
      </c>
      <c r="D91" s="129"/>
      <c r="E91" s="124"/>
      <c r="F91" s="119"/>
      <c r="G91" s="120"/>
      <c r="H91" s="120"/>
      <c r="I91" s="121"/>
      <c r="J91" s="124"/>
      <c r="K91" s="124"/>
      <c r="L91" s="124"/>
      <c r="M91" s="124"/>
      <c r="N91" s="123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</row>
    <row r="92" customFormat="false" ht="27.75" hidden="false" customHeight="true" outlineLevel="0" collapsed="false">
      <c r="A92" s="106"/>
      <c r="B92" s="127"/>
      <c r="C92" s="137" t="str">
        <f aca="false">CONCATENATE(A92,".",B92)</f>
        <v>.</v>
      </c>
      <c r="D92" s="129"/>
      <c r="E92" s="124"/>
      <c r="F92" s="119"/>
      <c r="G92" s="120"/>
      <c r="H92" s="120"/>
      <c r="I92" s="121"/>
      <c r="J92" s="124"/>
      <c r="K92" s="124"/>
      <c r="L92" s="124"/>
      <c r="M92" s="124"/>
      <c r="N92" s="123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</row>
    <row r="93" customFormat="false" ht="27.75" hidden="false" customHeight="true" outlineLevel="0" collapsed="false">
      <c r="A93" s="106"/>
      <c r="B93" s="127"/>
      <c r="C93" s="137" t="str">
        <f aca="false">CONCATENATE(A93,".",B93)</f>
        <v>.</v>
      </c>
      <c r="D93" s="129"/>
      <c r="E93" s="124"/>
      <c r="F93" s="119"/>
      <c r="G93" s="120"/>
      <c r="H93" s="120"/>
      <c r="I93" s="121"/>
      <c r="J93" s="124"/>
      <c r="K93" s="124"/>
      <c r="L93" s="124"/>
      <c r="M93" s="124"/>
      <c r="N93" s="123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</row>
    <row r="94" customFormat="false" ht="27.75" hidden="false" customHeight="true" outlineLevel="0" collapsed="false">
      <c r="A94" s="106"/>
      <c r="B94" s="127"/>
      <c r="C94" s="137" t="str">
        <f aca="false">CONCATENATE(A94,".",B94)</f>
        <v>.</v>
      </c>
      <c r="D94" s="129"/>
      <c r="E94" s="124"/>
      <c r="F94" s="119"/>
      <c r="G94" s="120"/>
      <c r="H94" s="120"/>
      <c r="I94" s="121"/>
      <c r="J94" s="124"/>
      <c r="K94" s="124"/>
      <c r="L94" s="124"/>
      <c r="M94" s="124"/>
      <c r="N94" s="123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</row>
    <row r="95" customFormat="false" ht="27.75" hidden="false" customHeight="true" outlineLevel="0" collapsed="false">
      <c r="A95" s="106"/>
      <c r="B95" s="127"/>
      <c r="C95" s="137" t="str">
        <f aca="false">CONCATENATE(A95,".",B95)</f>
        <v>.</v>
      </c>
      <c r="D95" s="129"/>
      <c r="E95" s="124"/>
      <c r="F95" s="119"/>
      <c r="G95" s="120"/>
      <c r="H95" s="120"/>
      <c r="I95" s="121"/>
      <c r="J95" s="124"/>
      <c r="K95" s="124"/>
      <c r="L95" s="124"/>
      <c r="M95" s="124"/>
      <c r="N95" s="123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</row>
    <row r="96" customFormat="false" ht="27.75" hidden="false" customHeight="true" outlineLevel="0" collapsed="false">
      <c r="A96" s="106"/>
      <c r="B96" s="127"/>
      <c r="C96" s="137" t="str">
        <f aca="false">CONCATENATE(A96,".",B96)</f>
        <v>.</v>
      </c>
      <c r="D96" s="129"/>
      <c r="E96" s="124"/>
      <c r="F96" s="119"/>
      <c r="G96" s="120"/>
      <c r="H96" s="120"/>
      <c r="I96" s="121"/>
      <c r="J96" s="124"/>
      <c r="K96" s="124"/>
      <c r="L96" s="124"/>
      <c r="M96" s="124"/>
      <c r="N96" s="123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customFormat="false" ht="27.75" hidden="false" customHeight="true" outlineLevel="0" collapsed="false">
      <c r="A97" s="106"/>
      <c r="B97" s="127"/>
      <c r="C97" s="137" t="str">
        <f aca="false">CONCATENATE(A97,".",B97)</f>
        <v>.</v>
      </c>
      <c r="D97" s="129"/>
      <c r="E97" s="124"/>
      <c r="F97" s="119"/>
      <c r="G97" s="120"/>
      <c r="H97" s="120"/>
      <c r="I97" s="121"/>
      <c r="J97" s="124"/>
      <c r="K97" s="124"/>
      <c r="L97" s="124"/>
      <c r="M97" s="124"/>
      <c r="N97" s="123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</row>
    <row r="98" customFormat="false" ht="27.75" hidden="false" customHeight="true" outlineLevel="0" collapsed="false">
      <c r="A98" s="106"/>
      <c r="B98" s="127"/>
      <c r="C98" s="137" t="str">
        <f aca="false">CONCATENATE(A98,".",B98)</f>
        <v>.</v>
      </c>
      <c r="D98" s="129"/>
      <c r="E98" s="124"/>
      <c r="F98" s="119"/>
      <c r="G98" s="120"/>
      <c r="H98" s="120"/>
      <c r="I98" s="121"/>
      <c r="J98" s="124"/>
      <c r="K98" s="124"/>
      <c r="L98" s="124"/>
      <c r="M98" s="124"/>
      <c r="N98" s="123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</row>
    <row r="99" customFormat="false" ht="27.75" hidden="false" customHeight="true" outlineLevel="0" collapsed="false">
      <c r="A99" s="106"/>
      <c r="B99" s="127"/>
      <c r="C99" s="137" t="str">
        <f aca="false">CONCATENATE(A99,".",B99)</f>
        <v>.</v>
      </c>
      <c r="D99" s="129"/>
      <c r="E99" s="124"/>
      <c r="F99" s="119"/>
      <c r="G99" s="120"/>
      <c r="H99" s="120"/>
      <c r="I99" s="121"/>
      <c r="J99" s="124"/>
      <c r="K99" s="124"/>
      <c r="L99" s="124"/>
      <c r="M99" s="124"/>
      <c r="N99" s="123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</row>
    <row r="100" customFormat="false" ht="27.75" hidden="false" customHeight="true" outlineLevel="0" collapsed="false">
      <c r="A100" s="106"/>
      <c r="B100" s="127"/>
      <c r="C100" s="137" t="str">
        <f aca="false">CONCATENATE(A100,".",B100)</f>
        <v>.</v>
      </c>
      <c r="D100" s="129"/>
      <c r="E100" s="124"/>
      <c r="F100" s="119"/>
      <c r="G100" s="120"/>
      <c r="H100" s="120"/>
      <c r="I100" s="121"/>
      <c r="J100" s="124"/>
      <c r="K100" s="124"/>
      <c r="L100" s="124"/>
      <c r="M100" s="124"/>
      <c r="N100" s="123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</row>
    <row r="101" customFormat="false" ht="27.75" hidden="false" customHeight="true" outlineLevel="0" collapsed="false">
      <c r="A101" s="106"/>
      <c r="B101" s="127"/>
      <c r="C101" s="137" t="str">
        <f aca="false">CONCATENATE(A101,".",B101)</f>
        <v>.</v>
      </c>
      <c r="D101" s="129"/>
      <c r="E101" s="124"/>
      <c r="F101" s="119"/>
      <c r="G101" s="120"/>
      <c r="H101" s="120"/>
      <c r="I101" s="121"/>
      <c r="J101" s="124"/>
      <c r="K101" s="124"/>
      <c r="L101" s="124"/>
      <c r="M101" s="124"/>
      <c r="N101" s="123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</row>
    <row r="102" customFormat="false" ht="27.75" hidden="false" customHeight="true" outlineLevel="0" collapsed="false">
      <c r="A102" s="106"/>
      <c r="B102" s="116"/>
      <c r="C102" s="137" t="str">
        <f aca="false">CONCATENATE(A102,".",B102)</f>
        <v>.</v>
      </c>
      <c r="D102" s="129"/>
      <c r="E102" s="124"/>
      <c r="F102" s="119"/>
      <c r="G102" s="120"/>
      <c r="H102" s="120"/>
      <c r="I102" s="121"/>
      <c r="J102" s="124"/>
      <c r="K102" s="124"/>
      <c r="L102" s="124"/>
      <c r="M102" s="124"/>
      <c r="N102" s="123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</row>
    <row r="103" customFormat="false" ht="27.75" hidden="false" customHeight="true" outlineLevel="0" collapsed="false">
      <c r="A103" s="106"/>
      <c r="B103" s="127"/>
      <c r="C103" s="137" t="str">
        <f aca="false">CONCATENATE(A103,".",B103)</f>
        <v>.</v>
      </c>
      <c r="D103" s="129"/>
      <c r="E103" s="124"/>
      <c r="F103" s="119"/>
      <c r="G103" s="120"/>
      <c r="H103" s="120"/>
      <c r="I103" s="121"/>
      <c r="J103" s="124"/>
      <c r="K103" s="124"/>
      <c r="L103" s="124"/>
      <c r="M103" s="124"/>
      <c r="N103" s="123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</row>
    <row r="104" customFormat="false" ht="27.75" hidden="false" customHeight="true" outlineLevel="0" collapsed="false">
      <c r="A104" s="106"/>
      <c r="B104" s="127"/>
      <c r="C104" s="137" t="str">
        <f aca="false">CONCATENATE(A104,".",B104)</f>
        <v>.</v>
      </c>
      <c r="D104" s="129"/>
      <c r="E104" s="124"/>
      <c r="F104" s="119"/>
      <c r="G104" s="120"/>
      <c r="H104" s="120"/>
      <c r="I104" s="121"/>
      <c r="J104" s="124"/>
      <c r="K104" s="124"/>
      <c r="L104" s="124"/>
      <c r="M104" s="124"/>
      <c r="N104" s="123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</row>
    <row r="105" customFormat="false" ht="27.75" hidden="false" customHeight="true" outlineLevel="0" collapsed="false">
      <c r="A105" s="138"/>
      <c r="B105" s="139"/>
      <c r="C105" s="140" t="str">
        <f aca="false">CONCATENATE(A105,".",B105)</f>
        <v>.</v>
      </c>
      <c r="D105" s="141"/>
      <c r="E105" s="145"/>
      <c r="F105" s="142"/>
      <c r="G105" s="143"/>
      <c r="H105" s="143"/>
      <c r="I105" s="144"/>
      <c r="J105" s="145"/>
      <c r="K105" s="145"/>
      <c r="L105" s="145"/>
      <c r="M105" s="145"/>
      <c r="N105" s="146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</row>
    <row r="106" customFormat="false" ht="11.25" hidden="false" customHeight="true" outlineLevel="0" collapsed="false">
      <c r="A106" s="147"/>
      <c r="B106" s="147"/>
      <c r="C106" s="147"/>
      <c r="D106" s="90"/>
      <c r="E106" s="149"/>
      <c r="F106" s="148"/>
      <c r="G106" s="148"/>
      <c r="H106" s="148"/>
      <c r="I106" s="148"/>
      <c r="J106" s="149"/>
      <c r="K106" s="149"/>
      <c r="L106" s="149"/>
      <c r="M106" s="149"/>
      <c r="N106" s="90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</row>
    <row r="107" customFormat="false" ht="11.25" hidden="false" customHeight="true" outlineLevel="0" collapsed="false">
      <c r="A107" s="147"/>
      <c r="B107" s="147"/>
      <c r="C107" s="147"/>
      <c r="D107" s="90"/>
      <c r="E107" s="149"/>
      <c r="F107" s="148"/>
      <c r="G107" s="148"/>
      <c r="H107" s="148"/>
      <c r="I107" s="148"/>
      <c r="J107" s="149"/>
      <c r="K107" s="149"/>
      <c r="L107" s="149"/>
      <c r="M107" s="149"/>
      <c r="N107" s="90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</row>
    <row r="108" customFormat="false" ht="11.25" hidden="false" customHeight="true" outlineLevel="0" collapsed="false">
      <c r="A108" s="147"/>
      <c r="B108" s="147"/>
      <c r="C108" s="147"/>
      <c r="D108" s="90"/>
      <c r="E108" s="149"/>
      <c r="F108" s="148"/>
      <c r="G108" s="148"/>
      <c r="H108" s="148"/>
      <c r="I108" s="148"/>
      <c r="J108" s="149"/>
      <c r="K108" s="149"/>
      <c r="L108" s="149"/>
      <c r="M108" s="149"/>
      <c r="N108" s="90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</row>
    <row r="109" customFormat="false" ht="11.25" hidden="false" customHeight="true" outlineLevel="0" collapsed="false">
      <c r="A109" s="147"/>
      <c r="B109" s="147"/>
      <c r="C109" s="147"/>
      <c r="D109" s="90"/>
      <c r="E109" s="149"/>
      <c r="F109" s="148"/>
      <c r="G109" s="148"/>
      <c r="H109" s="148"/>
      <c r="I109" s="148"/>
      <c r="J109" s="149"/>
      <c r="K109" s="149"/>
      <c r="L109" s="149"/>
      <c r="M109" s="149"/>
      <c r="N109" s="90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</row>
    <row r="110" customFormat="false" ht="11.25" hidden="false" customHeight="true" outlineLevel="0" collapsed="false">
      <c r="A110" s="147"/>
      <c r="B110" s="147"/>
      <c r="C110" s="147"/>
      <c r="D110" s="90"/>
      <c r="E110" s="149"/>
      <c r="F110" s="148"/>
      <c r="G110" s="148"/>
      <c r="H110" s="148"/>
      <c r="I110" s="148"/>
      <c r="J110" s="149"/>
      <c r="K110" s="149"/>
      <c r="L110" s="149"/>
      <c r="M110" s="149"/>
      <c r="N110" s="90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</row>
    <row r="111" customFormat="false" ht="11.25" hidden="false" customHeight="true" outlineLevel="0" collapsed="false">
      <c r="A111" s="147"/>
      <c r="B111" s="147"/>
      <c r="C111" s="147"/>
      <c r="D111" s="90"/>
      <c r="E111" s="149"/>
      <c r="F111" s="148"/>
      <c r="G111" s="148"/>
      <c r="H111" s="148"/>
      <c r="I111" s="148"/>
      <c r="J111" s="149"/>
      <c r="K111" s="149"/>
      <c r="L111" s="149"/>
      <c r="M111" s="149"/>
      <c r="N111" s="90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</row>
    <row r="112" customFormat="false" ht="11.25" hidden="false" customHeight="true" outlineLevel="0" collapsed="false">
      <c r="A112" s="147"/>
      <c r="B112" s="147"/>
      <c r="C112" s="147"/>
      <c r="D112" s="90"/>
      <c r="E112" s="149"/>
      <c r="F112" s="148"/>
      <c r="G112" s="148"/>
      <c r="H112" s="148"/>
      <c r="I112" s="148"/>
      <c r="J112" s="149"/>
      <c r="K112" s="149"/>
      <c r="L112" s="149"/>
      <c r="M112" s="149"/>
      <c r="N112" s="90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</row>
    <row r="113" customFormat="false" ht="11.25" hidden="false" customHeight="true" outlineLevel="0" collapsed="false">
      <c r="A113" s="147"/>
      <c r="B113" s="147"/>
      <c r="C113" s="147"/>
      <c r="D113" s="90"/>
      <c r="E113" s="149"/>
      <c r="F113" s="148"/>
      <c r="G113" s="148"/>
      <c r="H113" s="148"/>
      <c r="I113" s="148"/>
      <c r="J113" s="149"/>
      <c r="K113" s="149"/>
      <c r="L113" s="149"/>
      <c r="M113" s="149"/>
      <c r="N113" s="90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</row>
    <row r="114" customFormat="false" ht="11.25" hidden="false" customHeight="true" outlineLevel="0" collapsed="false">
      <c r="A114" s="147"/>
      <c r="B114" s="147"/>
      <c r="C114" s="147"/>
      <c r="D114" s="90"/>
      <c r="E114" s="149"/>
      <c r="F114" s="148"/>
      <c r="G114" s="148"/>
      <c r="H114" s="148"/>
      <c r="I114" s="148"/>
      <c r="J114" s="149"/>
      <c r="K114" s="149"/>
      <c r="L114" s="149"/>
      <c r="M114" s="149"/>
      <c r="N114" s="90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</row>
    <row r="115" customFormat="false" ht="11.25" hidden="false" customHeight="true" outlineLevel="0" collapsed="false">
      <c r="A115" s="147"/>
      <c r="B115" s="147"/>
      <c r="C115" s="147"/>
      <c r="D115" s="90"/>
      <c r="E115" s="149"/>
      <c r="F115" s="148"/>
      <c r="G115" s="148"/>
      <c r="H115" s="148"/>
      <c r="I115" s="148"/>
      <c r="J115" s="149"/>
      <c r="K115" s="149"/>
      <c r="L115" s="149"/>
      <c r="M115" s="149"/>
      <c r="N115" s="90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</row>
    <row r="116" customFormat="false" ht="11.25" hidden="false" customHeight="true" outlineLevel="0" collapsed="false">
      <c r="A116" s="147"/>
      <c r="B116" s="147"/>
      <c r="C116" s="147"/>
      <c r="D116" s="90"/>
      <c r="E116" s="149"/>
      <c r="F116" s="148"/>
      <c r="G116" s="148"/>
      <c r="H116" s="148"/>
      <c r="I116" s="148"/>
      <c r="J116" s="149"/>
      <c r="K116" s="149"/>
      <c r="L116" s="149"/>
      <c r="M116" s="149"/>
      <c r="N116" s="90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</row>
    <row r="117" customFormat="false" ht="11.25" hidden="false" customHeight="true" outlineLevel="0" collapsed="false">
      <c r="A117" s="147"/>
      <c r="B117" s="147"/>
      <c r="C117" s="147"/>
      <c r="D117" s="90"/>
      <c r="E117" s="149"/>
      <c r="F117" s="148"/>
      <c r="G117" s="148"/>
      <c r="H117" s="148"/>
      <c r="I117" s="148"/>
      <c r="J117" s="149"/>
      <c r="K117" s="149"/>
      <c r="L117" s="149"/>
      <c r="M117" s="149"/>
      <c r="N117" s="90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</row>
    <row r="118" customFormat="false" ht="11.25" hidden="false" customHeight="true" outlineLevel="0" collapsed="false">
      <c r="A118" s="147"/>
      <c r="B118" s="147"/>
      <c r="C118" s="147"/>
      <c r="D118" s="90"/>
      <c r="E118" s="149"/>
      <c r="F118" s="148"/>
      <c r="G118" s="148"/>
      <c r="H118" s="148"/>
      <c r="I118" s="148"/>
      <c r="J118" s="149"/>
      <c r="K118" s="149"/>
      <c r="L118" s="149"/>
      <c r="M118" s="149"/>
      <c r="N118" s="90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</row>
    <row r="119" customFormat="false" ht="11.25" hidden="false" customHeight="true" outlineLevel="0" collapsed="false">
      <c r="A119" s="147"/>
      <c r="B119" s="147"/>
      <c r="C119" s="147"/>
      <c r="D119" s="90"/>
      <c r="E119" s="149"/>
      <c r="F119" s="148"/>
      <c r="G119" s="148"/>
      <c r="H119" s="148"/>
      <c r="I119" s="148"/>
      <c r="J119" s="149"/>
      <c r="K119" s="149"/>
      <c r="L119" s="149"/>
      <c r="M119" s="149"/>
      <c r="N119" s="90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</row>
    <row r="120" customFormat="false" ht="11.25" hidden="false" customHeight="true" outlineLevel="0" collapsed="false">
      <c r="A120" s="147"/>
      <c r="B120" s="147"/>
      <c r="C120" s="147"/>
      <c r="D120" s="90"/>
      <c r="E120" s="149"/>
      <c r="F120" s="148"/>
      <c r="G120" s="148"/>
      <c r="H120" s="148"/>
      <c r="I120" s="148"/>
      <c r="J120" s="149"/>
      <c r="K120" s="149"/>
      <c r="L120" s="149"/>
      <c r="M120" s="149"/>
      <c r="N120" s="90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</row>
    <row r="121" customFormat="false" ht="11.25" hidden="false" customHeight="true" outlineLevel="0" collapsed="false">
      <c r="A121" s="147"/>
      <c r="B121" s="147"/>
      <c r="C121" s="147"/>
      <c r="D121" s="90"/>
      <c r="E121" s="149"/>
      <c r="F121" s="148"/>
      <c r="G121" s="148"/>
      <c r="H121" s="148"/>
      <c r="I121" s="148"/>
      <c r="J121" s="149"/>
      <c r="K121" s="149"/>
      <c r="L121" s="149"/>
      <c r="M121" s="149"/>
      <c r="N121" s="90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</row>
    <row r="122" customFormat="false" ht="11.25" hidden="false" customHeight="true" outlineLevel="0" collapsed="false">
      <c r="A122" s="147"/>
      <c r="B122" s="147"/>
      <c r="C122" s="147"/>
      <c r="D122" s="90"/>
      <c r="E122" s="149"/>
      <c r="F122" s="148"/>
      <c r="G122" s="148"/>
      <c r="H122" s="148"/>
      <c r="I122" s="148"/>
      <c r="J122" s="149"/>
      <c r="K122" s="149"/>
      <c r="L122" s="149"/>
      <c r="M122" s="149"/>
      <c r="N122" s="90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</row>
    <row r="123" customFormat="false" ht="11.25" hidden="false" customHeight="true" outlineLevel="0" collapsed="false">
      <c r="A123" s="147"/>
      <c r="B123" s="147"/>
      <c r="C123" s="147"/>
      <c r="D123" s="90"/>
      <c r="E123" s="149"/>
      <c r="F123" s="148"/>
      <c r="G123" s="148"/>
      <c r="H123" s="148"/>
      <c r="I123" s="148"/>
      <c r="J123" s="149"/>
      <c r="K123" s="149"/>
      <c r="L123" s="149"/>
      <c r="M123" s="149"/>
      <c r="N123" s="90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</row>
    <row r="124" customFormat="false" ht="11.25" hidden="false" customHeight="true" outlineLevel="0" collapsed="false">
      <c r="A124" s="147"/>
      <c r="B124" s="147"/>
      <c r="C124" s="147"/>
      <c r="D124" s="90"/>
      <c r="E124" s="149"/>
      <c r="F124" s="148"/>
      <c r="G124" s="148"/>
      <c r="H124" s="148"/>
      <c r="I124" s="148"/>
      <c r="J124" s="149"/>
      <c r="K124" s="149"/>
      <c r="L124" s="149"/>
      <c r="M124" s="149"/>
      <c r="N124" s="90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</row>
    <row r="125" customFormat="false" ht="11.25" hidden="false" customHeight="true" outlineLevel="0" collapsed="false">
      <c r="A125" s="147"/>
      <c r="B125" s="147"/>
      <c r="C125" s="147"/>
      <c r="D125" s="90"/>
      <c r="E125" s="149"/>
      <c r="F125" s="148"/>
      <c r="G125" s="148"/>
      <c r="H125" s="148"/>
      <c r="I125" s="148"/>
      <c r="J125" s="149"/>
      <c r="K125" s="149"/>
      <c r="L125" s="149"/>
      <c r="M125" s="149"/>
      <c r="N125" s="90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</row>
    <row r="126" customFormat="false" ht="11.25" hidden="false" customHeight="true" outlineLevel="0" collapsed="false">
      <c r="A126" s="147"/>
      <c r="B126" s="147"/>
      <c r="C126" s="147"/>
      <c r="D126" s="90"/>
      <c r="E126" s="149"/>
      <c r="F126" s="148"/>
      <c r="G126" s="148"/>
      <c r="H126" s="148"/>
      <c r="I126" s="148"/>
      <c r="J126" s="149"/>
      <c r="K126" s="149"/>
      <c r="L126" s="149"/>
      <c r="M126" s="149"/>
      <c r="N126" s="90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</row>
    <row r="127" customFormat="false" ht="11.25" hidden="false" customHeight="true" outlineLevel="0" collapsed="false">
      <c r="A127" s="147"/>
      <c r="B127" s="147"/>
      <c r="C127" s="147"/>
      <c r="D127" s="90"/>
      <c r="E127" s="149"/>
      <c r="F127" s="148"/>
      <c r="G127" s="148"/>
      <c r="H127" s="148"/>
      <c r="I127" s="148"/>
      <c r="J127" s="149"/>
      <c r="K127" s="149"/>
      <c r="L127" s="149"/>
      <c r="M127" s="149"/>
      <c r="N127" s="90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</row>
    <row r="128" customFormat="false" ht="11.25" hidden="false" customHeight="true" outlineLevel="0" collapsed="false">
      <c r="A128" s="147"/>
      <c r="B128" s="147"/>
      <c r="C128" s="147"/>
      <c r="D128" s="90"/>
      <c r="E128" s="149"/>
      <c r="F128" s="148"/>
      <c r="G128" s="148"/>
      <c r="H128" s="148"/>
      <c r="I128" s="148"/>
      <c r="J128" s="149"/>
      <c r="K128" s="149"/>
      <c r="L128" s="149"/>
      <c r="M128" s="149"/>
      <c r="N128" s="90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</row>
    <row r="129" customFormat="false" ht="11.25" hidden="false" customHeight="true" outlineLevel="0" collapsed="false">
      <c r="A129" s="147"/>
      <c r="B129" s="147"/>
      <c r="C129" s="147"/>
      <c r="D129" s="90"/>
      <c r="E129" s="149"/>
      <c r="F129" s="148"/>
      <c r="G129" s="148"/>
      <c r="H129" s="148"/>
      <c r="I129" s="148"/>
      <c r="J129" s="149"/>
      <c r="K129" s="149"/>
      <c r="L129" s="149"/>
      <c r="M129" s="149"/>
      <c r="N129" s="90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</row>
    <row r="130" customFormat="false" ht="11.25" hidden="false" customHeight="true" outlineLevel="0" collapsed="false">
      <c r="A130" s="147"/>
      <c r="B130" s="147"/>
      <c r="C130" s="147"/>
      <c r="D130" s="90"/>
      <c r="E130" s="149"/>
      <c r="F130" s="148"/>
      <c r="G130" s="148"/>
      <c r="H130" s="148"/>
      <c r="I130" s="148"/>
      <c r="J130" s="149"/>
      <c r="K130" s="149"/>
      <c r="L130" s="149"/>
      <c r="M130" s="149"/>
      <c r="N130" s="90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</row>
    <row r="131" customFormat="false" ht="11.25" hidden="false" customHeight="true" outlineLevel="0" collapsed="false">
      <c r="A131" s="147"/>
      <c r="B131" s="147"/>
      <c r="C131" s="147"/>
      <c r="D131" s="90"/>
      <c r="E131" s="149"/>
      <c r="F131" s="148"/>
      <c r="G131" s="148"/>
      <c r="H131" s="148"/>
      <c r="I131" s="148"/>
      <c r="J131" s="149"/>
      <c r="K131" s="149"/>
      <c r="L131" s="149"/>
      <c r="M131" s="149"/>
      <c r="N131" s="90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</row>
    <row r="132" customFormat="false" ht="11.25" hidden="false" customHeight="true" outlineLevel="0" collapsed="false">
      <c r="A132" s="147"/>
      <c r="B132" s="147"/>
      <c r="C132" s="147"/>
      <c r="D132" s="90"/>
      <c r="E132" s="149"/>
      <c r="F132" s="148"/>
      <c r="G132" s="148"/>
      <c r="H132" s="148"/>
      <c r="I132" s="148"/>
      <c r="J132" s="149"/>
      <c r="K132" s="149"/>
      <c r="L132" s="149"/>
      <c r="M132" s="149"/>
      <c r="N132" s="90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</row>
    <row r="133" customFormat="false" ht="11.25" hidden="false" customHeight="true" outlineLevel="0" collapsed="false">
      <c r="A133" s="147"/>
      <c r="B133" s="147"/>
      <c r="C133" s="147"/>
      <c r="D133" s="90"/>
      <c r="E133" s="149"/>
      <c r="F133" s="148"/>
      <c r="G133" s="148"/>
      <c r="H133" s="148"/>
      <c r="I133" s="148"/>
      <c r="J133" s="149"/>
      <c r="K133" s="149"/>
      <c r="L133" s="149"/>
      <c r="M133" s="149"/>
      <c r="N133" s="90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</row>
    <row r="134" customFormat="false" ht="11.25" hidden="false" customHeight="true" outlineLevel="0" collapsed="false">
      <c r="A134" s="147"/>
      <c r="B134" s="147"/>
      <c r="C134" s="147"/>
      <c r="D134" s="90"/>
      <c r="E134" s="149"/>
      <c r="F134" s="148"/>
      <c r="G134" s="148"/>
      <c r="H134" s="148"/>
      <c r="I134" s="148"/>
      <c r="J134" s="149"/>
      <c r="K134" s="149"/>
      <c r="L134" s="149"/>
      <c r="M134" s="149"/>
      <c r="N134" s="90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</row>
    <row r="135" customFormat="false" ht="11.25" hidden="false" customHeight="true" outlineLevel="0" collapsed="false">
      <c r="A135" s="147"/>
      <c r="B135" s="147"/>
      <c r="C135" s="147"/>
      <c r="D135" s="90"/>
      <c r="E135" s="149"/>
      <c r="F135" s="148"/>
      <c r="G135" s="148"/>
      <c r="H135" s="148"/>
      <c r="I135" s="148"/>
      <c r="J135" s="149"/>
      <c r="K135" s="149"/>
      <c r="L135" s="149"/>
      <c r="M135" s="149"/>
      <c r="N135" s="90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</row>
    <row r="136" customFormat="false" ht="11.25" hidden="false" customHeight="true" outlineLevel="0" collapsed="false">
      <c r="A136" s="147"/>
      <c r="B136" s="147"/>
      <c r="C136" s="147"/>
      <c r="D136" s="90"/>
      <c r="E136" s="149"/>
      <c r="F136" s="148"/>
      <c r="G136" s="148"/>
      <c r="H136" s="148"/>
      <c r="I136" s="148"/>
      <c r="J136" s="149"/>
      <c r="K136" s="149"/>
      <c r="L136" s="149"/>
      <c r="M136" s="149"/>
      <c r="N136" s="90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</row>
    <row r="137" customFormat="false" ht="11.25" hidden="false" customHeight="true" outlineLevel="0" collapsed="false">
      <c r="A137" s="147"/>
      <c r="B137" s="147"/>
      <c r="C137" s="147"/>
      <c r="D137" s="90"/>
      <c r="E137" s="149"/>
      <c r="F137" s="148"/>
      <c r="G137" s="148"/>
      <c r="H137" s="148"/>
      <c r="I137" s="148"/>
      <c r="J137" s="149"/>
      <c r="K137" s="149"/>
      <c r="L137" s="149"/>
      <c r="M137" s="149"/>
      <c r="N137" s="90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</row>
    <row r="138" customFormat="false" ht="11.25" hidden="false" customHeight="true" outlineLevel="0" collapsed="false">
      <c r="A138" s="147"/>
      <c r="B138" s="147"/>
      <c r="C138" s="147"/>
      <c r="D138" s="90"/>
      <c r="E138" s="149"/>
      <c r="F138" s="148"/>
      <c r="G138" s="148"/>
      <c r="H138" s="148"/>
      <c r="I138" s="148"/>
      <c r="J138" s="149"/>
      <c r="K138" s="149"/>
      <c r="L138" s="149"/>
      <c r="M138" s="149"/>
      <c r="N138" s="90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</row>
    <row r="139" customFormat="false" ht="11.25" hidden="false" customHeight="true" outlineLevel="0" collapsed="false">
      <c r="A139" s="147"/>
      <c r="B139" s="147"/>
      <c r="C139" s="147"/>
      <c r="D139" s="90"/>
      <c r="E139" s="149"/>
      <c r="F139" s="148"/>
      <c r="G139" s="148"/>
      <c r="H139" s="148"/>
      <c r="I139" s="148"/>
      <c r="J139" s="149"/>
      <c r="K139" s="149"/>
      <c r="L139" s="149"/>
      <c r="M139" s="149"/>
      <c r="N139" s="90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</row>
    <row r="140" customFormat="false" ht="11.25" hidden="false" customHeight="true" outlineLevel="0" collapsed="false">
      <c r="A140" s="147"/>
      <c r="B140" s="147"/>
      <c r="C140" s="147"/>
      <c r="D140" s="90"/>
      <c r="E140" s="149"/>
      <c r="F140" s="148"/>
      <c r="G140" s="148"/>
      <c r="H140" s="148"/>
      <c r="I140" s="148"/>
      <c r="J140" s="149"/>
      <c r="K140" s="149"/>
      <c r="L140" s="149"/>
      <c r="M140" s="149"/>
      <c r="N140" s="90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</row>
    <row r="141" customFormat="false" ht="11.25" hidden="false" customHeight="true" outlineLevel="0" collapsed="false">
      <c r="A141" s="147"/>
      <c r="B141" s="147"/>
      <c r="C141" s="147"/>
      <c r="D141" s="90"/>
      <c r="E141" s="149"/>
      <c r="F141" s="148"/>
      <c r="G141" s="148"/>
      <c r="H141" s="148"/>
      <c r="I141" s="148"/>
      <c r="J141" s="149"/>
      <c r="K141" s="149"/>
      <c r="L141" s="149"/>
      <c r="M141" s="149"/>
      <c r="N141" s="90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</row>
    <row r="142" customFormat="false" ht="11.25" hidden="false" customHeight="true" outlineLevel="0" collapsed="false">
      <c r="A142" s="147"/>
      <c r="B142" s="147"/>
      <c r="C142" s="147"/>
      <c r="D142" s="90"/>
      <c r="E142" s="149"/>
      <c r="F142" s="148"/>
      <c r="G142" s="148"/>
      <c r="H142" s="148"/>
      <c r="I142" s="148"/>
      <c r="J142" s="149"/>
      <c r="K142" s="149"/>
      <c r="L142" s="149"/>
      <c r="M142" s="149"/>
      <c r="N142" s="90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</row>
    <row r="143" customFormat="false" ht="11.25" hidden="false" customHeight="true" outlineLevel="0" collapsed="false">
      <c r="A143" s="147"/>
      <c r="B143" s="147"/>
      <c r="C143" s="147"/>
      <c r="D143" s="90"/>
      <c r="E143" s="149"/>
      <c r="F143" s="148"/>
      <c r="G143" s="148"/>
      <c r="H143" s="148"/>
      <c r="I143" s="148"/>
      <c r="J143" s="149"/>
      <c r="K143" s="149"/>
      <c r="L143" s="149"/>
      <c r="M143" s="149"/>
      <c r="N143" s="90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</row>
    <row r="144" customFormat="false" ht="11.25" hidden="false" customHeight="true" outlineLevel="0" collapsed="false">
      <c r="A144" s="147"/>
      <c r="B144" s="147"/>
      <c r="C144" s="147"/>
      <c r="D144" s="90"/>
      <c r="E144" s="149"/>
      <c r="F144" s="148"/>
      <c r="G144" s="148"/>
      <c r="H144" s="148"/>
      <c r="I144" s="148"/>
      <c r="J144" s="149"/>
      <c r="K144" s="149"/>
      <c r="L144" s="149"/>
      <c r="M144" s="149"/>
      <c r="N144" s="90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</row>
    <row r="145" customFormat="false" ht="11.25" hidden="false" customHeight="true" outlineLevel="0" collapsed="false">
      <c r="A145" s="147"/>
      <c r="B145" s="147"/>
      <c r="C145" s="147"/>
      <c r="D145" s="90"/>
      <c r="E145" s="149"/>
      <c r="F145" s="148"/>
      <c r="G145" s="148"/>
      <c r="H145" s="148"/>
      <c r="I145" s="148"/>
      <c r="J145" s="149"/>
      <c r="K145" s="149"/>
      <c r="L145" s="149"/>
      <c r="M145" s="149"/>
      <c r="N145" s="90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customFormat="false" ht="11.25" hidden="false" customHeight="true" outlineLevel="0" collapsed="false">
      <c r="A146" s="147"/>
      <c r="B146" s="147"/>
      <c r="C146" s="147"/>
      <c r="D146" s="90"/>
      <c r="E146" s="149"/>
      <c r="F146" s="148"/>
      <c r="G146" s="148"/>
      <c r="H146" s="148"/>
      <c r="I146" s="148"/>
      <c r="J146" s="149"/>
      <c r="K146" s="149"/>
      <c r="L146" s="149"/>
      <c r="M146" s="149"/>
      <c r="N146" s="90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customFormat="false" ht="11.25" hidden="false" customHeight="true" outlineLevel="0" collapsed="false">
      <c r="A147" s="147"/>
      <c r="B147" s="147"/>
      <c r="C147" s="147"/>
      <c r="D147" s="90"/>
      <c r="E147" s="149"/>
      <c r="F147" s="148"/>
      <c r="G147" s="148"/>
      <c r="H147" s="148"/>
      <c r="I147" s="148"/>
      <c r="J147" s="149"/>
      <c r="K147" s="149"/>
      <c r="L147" s="149"/>
      <c r="M147" s="149"/>
      <c r="N147" s="90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customFormat="false" ht="11.25" hidden="false" customHeight="true" outlineLevel="0" collapsed="false">
      <c r="A148" s="147"/>
      <c r="B148" s="147"/>
      <c r="C148" s="147"/>
      <c r="D148" s="90"/>
      <c r="E148" s="149"/>
      <c r="F148" s="148"/>
      <c r="G148" s="148"/>
      <c r="H148" s="148"/>
      <c r="I148" s="148"/>
      <c r="J148" s="149"/>
      <c r="K148" s="149"/>
      <c r="L148" s="149"/>
      <c r="M148" s="149"/>
      <c r="N148" s="90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customFormat="false" ht="11.25" hidden="false" customHeight="true" outlineLevel="0" collapsed="false">
      <c r="A149" s="147"/>
      <c r="B149" s="147"/>
      <c r="C149" s="147"/>
      <c r="D149" s="90"/>
      <c r="E149" s="149"/>
      <c r="F149" s="148"/>
      <c r="G149" s="148"/>
      <c r="H149" s="148"/>
      <c r="I149" s="148"/>
      <c r="J149" s="149"/>
      <c r="K149" s="149"/>
      <c r="L149" s="149"/>
      <c r="M149" s="149"/>
      <c r="N149" s="90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customFormat="false" ht="11.25" hidden="false" customHeight="true" outlineLevel="0" collapsed="false">
      <c r="A150" s="147"/>
      <c r="B150" s="147"/>
      <c r="C150" s="147"/>
      <c r="D150" s="90"/>
      <c r="E150" s="149"/>
      <c r="F150" s="148"/>
      <c r="G150" s="148"/>
      <c r="H150" s="148"/>
      <c r="I150" s="148"/>
      <c r="J150" s="149"/>
      <c r="K150" s="149"/>
      <c r="L150" s="149"/>
      <c r="M150" s="149"/>
      <c r="N150" s="90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customFormat="false" ht="11.25" hidden="false" customHeight="true" outlineLevel="0" collapsed="false">
      <c r="A151" s="147"/>
      <c r="B151" s="147"/>
      <c r="C151" s="147"/>
      <c r="D151" s="90"/>
      <c r="E151" s="149"/>
      <c r="F151" s="148"/>
      <c r="G151" s="148"/>
      <c r="H151" s="148"/>
      <c r="I151" s="148"/>
      <c r="J151" s="149"/>
      <c r="K151" s="149"/>
      <c r="L151" s="149"/>
      <c r="M151" s="149"/>
      <c r="N151" s="90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customFormat="false" ht="11.25" hidden="false" customHeight="true" outlineLevel="0" collapsed="false">
      <c r="A152" s="147"/>
      <c r="B152" s="147"/>
      <c r="C152" s="147"/>
      <c r="D152" s="90"/>
      <c r="E152" s="149"/>
      <c r="F152" s="148"/>
      <c r="G152" s="148"/>
      <c r="H152" s="148"/>
      <c r="I152" s="148"/>
      <c r="J152" s="149"/>
      <c r="K152" s="149"/>
      <c r="L152" s="149"/>
      <c r="M152" s="149"/>
      <c r="N152" s="90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customFormat="false" ht="11.25" hidden="false" customHeight="true" outlineLevel="0" collapsed="false">
      <c r="A153" s="147"/>
      <c r="B153" s="147"/>
      <c r="C153" s="147"/>
      <c r="D153" s="90"/>
      <c r="E153" s="149"/>
      <c r="F153" s="148"/>
      <c r="G153" s="148"/>
      <c r="H153" s="148"/>
      <c r="I153" s="148"/>
      <c r="J153" s="149"/>
      <c r="K153" s="149"/>
      <c r="L153" s="149"/>
      <c r="M153" s="149"/>
      <c r="N153" s="90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customFormat="false" ht="11.25" hidden="false" customHeight="true" outlineLevel="0" collapsed="false">
      <c r="A154" s="147"/>
      <c r="B154" s="147"/>
      <c r="C154" s="147"/>
      <c r="D154" s="90"/>
      <c r="E154" s="149"/>
      <c r="F154" s="148"/>
      <c r="G154" s="148"/>
      <c r="H154" s="148"/>
      <c r="I154" s="148"/>
      <c r="J154" s="149"/>
      <c r="K154" s="149"/>
      <c r="L154" s="149"/>
      <c r="M154" s="149"/>
      <c r="N154" s="90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customFormat="false" ht="11.25" hidden="false" customHeight="true" outlineLevel="0" collapsed="false">
      <c r="A155" s="147"/>
      <c r="B155" s="147"/>
      <c r="C155" s="147"/>
      <c r="D155" s="90"/>
      <c r="E155" s="149"/>
      <c r="F155" s="148"/>
      <c r="G155" s="148"/>
      <c r="H155" s="148"/>
      <c r="I155" s="148"/>
      <c r="J155" s="149"/>
      <c r="K155" s="149"/>
      <c r="L155" s="149"/>
      <c r="M155" s="149"/>
      <c r="N155" s="90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customFormat="false" ht="11.25" hidden="false" customHeight="true" outlineLevel="0" collapsed="false">
      <c r="A156" s="147"/>
      <c r="B156" s="147"/>
      <c r="C156" s="147"/>
      <c r="D156" s="90"/>
      <c r="E156" s="149"/>
      <c r="F156" s="148"/>
      <c r="G156" s="148"/>
      <c r="H156" s="148"/>
      <c r="I156" s="148"/>
      <c r="J156" s="149"/>
      <c r="K156" s="149"/>
      <c r="L156" s="149"/>
      <c r="M156" s="149"/>
      <c r="N156" s="90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customFormat="false" ht="11.25" hidden="false" customHeight="true" outlineLevel="0" collapsed="false">
      <c r="A157" s="89"/>
      <c r="B157" s="89"/>
      <c r="C157" s="89"/>
      <c r="D157" s="150"/>
      <c r="E157" s="152"/>
      <c r="F157" s="151"/>
      <c r="G157" s="151"/>
      <c r="H157" s="151"/>
      <c r="I157" s="151"/>
      <c r="J157" s="152"/>
      <c r="K157" s="152"/>
      <c r="L157" s="152"/>
      <c r="M157" s="152"/>
      <c r="N157" s="150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customFormat="false" ht="11.25" hidden="false" customHeight="true" outlineLevel="0" collapsed="false">
      <c r="A158" s="89"/>
      <c r="B158" s="89"/>
      <c r="C158" s="89"/>
      <c r="D158" s="150"/>
      <c r="E158" s="152"/>
      <c r="F158" s="151"/>
      <c r="G158" s="151"/>
      <c r="H158" s="151"/>
      <c r="I158" s="151"/>
      <c r="J158" s="152"/>
      <c r="K158" s="152"/>
      <c r="L158" s="152"/>
      <c r="M158" s="152"/>
      <c r="N158" s="150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customFormat="false" ht="11.25" hidden="false" customHeight="true" outlineLevel="0" collapsed="false">
      <c r="A159" s="89"/>
      <c r="B159" s="89"/>
      <c r="C159" s="89"/>
      <c r="D159" s="150"/>
      <c r="E159" s="152"/>
      <c r="F159" s="151"/>
      <c r="G159" s="151"/>
      <c r="H159" s="151"/>
      <c r="I159" s="151"/>
      <c r="J159" s="152"/>
      <c r="K159" s="152"/>
      <c r="L159" s="152"/>
      <c r="M159" s="152"/>
      <c r="N159" s="150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customFormat="false" ht="11.25" hidden="false" customHeight="true" outlineLevel="0" collapsed="false">
      <c r="A160" s="89"/>
      <c r="B160" s="89"/>
      <c r="C160" s="89"/>
      <c r="D160" s="150"/>
      <c r="E160" s="152"/>
      <c r="F160" s="151"/>
      <c r="G160" s="151"/>
      <c r="H160" s="151"/>
      <c r="I160" s="151"/>
      <c r="J160" s="152"/>
      <c r="K160" s="152"/>
      <c r="L160" s="152"/>
      <c r="M160" s="152"/>
      <c r="N160" s="150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customFormat="false" ht="11.25" hidden="false" customHeight="true" outlineLevel="0" collapsed="false">
      <c r="A161" s="89"/>
      <c r="B161" s="89"/>
      <c r="C161" s="89"/>
      <c r="D161" s="150"/>
      <c r="E161" s="152"/>
      <c r="F161" s="151"/>
      <c r="G161" s="151"/>
      <c r="H161" s="151"/>
      <c r="I161" s="151"/>
      <c r="J161" s="152"/>
      <c r="K161" s="152"/>
      <c r="L161" s="152"/>
      <c r="M161" s="152"/>
      <c r="N161" s="150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customFormat="false" ht="11.25" hidden="false" customHeight="true" outlineLevel="0" collapsed="false">
      <c r="A162" s="89"/>
      <c r="B162" s="89"/>
      <c r="C162" s="89"/>
      <c r="D162" s="150"/>
      <c r="E162" s="152"/>
      <c r="F162" s="151"/>
      <c r="G162" s="151"/>
      <c r="H162" s="151"/>
      <c r="I162" s="151"/>
      <c r="J162" s="152"/>
      <c r="K162" s="152"/>
      <c r="L162" s="152"/>
      <c r="M162" s="152"/>
      <c r="N162" s="150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customFormat="false" ht="11.25" hidden="false" customHeight="true" outlineLevel="0" collapsed="false">
      <c r="A163" s="89"/>
      <c r="B163" s="89"/>
      <c r="C163" s="89"/>
      <c r="D163" s="150"/>
      <c r="E163" s="152"/>
      <c r="F163" s="151"/>
      <c r="G163" s="151"/>
      <c r="H163" s="151"/>
      <c r="I163" s="151"/>
      <c r="J163" s="152"/>
      <c r="K163" s="152"/>
      <c r="L163" s="152"/>
      <c r="M163" s="152"/>
      <c r="N163" s="150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customFormat="false" ht="11.25" hidden="false" customHeight="true" outlineLevel="0" collapsed="false">
      <c r="A164" s="89"/>
      <c r="B164" s="89"/>
      <c r="C164" s="89"/>
      <c r="D164" s="150"/>
      <c r="E164" s="152"/>
      <c r="F164" s="151"/>
      <c r="G164" s="151"/>
      <c r="H164" s="151"/>
      <c r="I164" s="151"/>
      <c r="J164" s="152"/>
      <c r="K164" s="152"/>
      <c r="L164" s="152"/>
      <c r="M164" s="152"/>
      <c r="N164" s="150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customFormat="false" ht="11.25" hidden="false" customHeight="true" outlineLevel="0" collapsed="false">
      <c r="A165" s="89"/>
      <c r="B165" s="89"/>
      <c r="C165" s="89"/>
      <c r="D165" s="150"/>
      <c r="E165" s="152"/>
      <c r="F165" s="151"/>
      <c r="G165" s="151"/>
      <c r="H165" s="151"/>
      <c r="I165" s="151"/>
      <c r="J165" s="152"/>
      <c r="K165" s="152"/>
      <c r="L165" s="152"/>
      <c r="M165" s="152"/>
      <c r="N165" s="150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customFormat="false" ht="11.25" hidden="false" customHeight="true" outlineLevel="0" collapsed="false">
      <c r="A166" s="89"/>
      <c r="B166" s="89"/>
      <c r="C166" s="89"/>
      <c r="D166" s="150"/>
      <c r="E166" s="152"/>
      <c r="F166" s="151"/>
      <c r="G166" s="151"/>
      <c r="H166" s="151"/>
      <c r="I166" s="151"/>
      <c r="J166" s="152"/>
      <c r="K166" s="152"/>
      <c r="L166" s="152"/>
      <c r="M166" s="152"/>
      <c r="N166" s="150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customFormat="false" ht="11.25" hidden="false" customHeight="true" outlineLevel="0" collapsed="false">
      <c r="A167" s="89"/>
      <c r="B167" s="89"/>
      <c r="C167" s="89"/>
      <c r="D167" s="150"/>
      <c r="E167" s="152"/>
      <c r="F167" s="151"/>
      <c r="G167" s="151"/>
      <c r="H167" s="151"/>
      <c r="I167" s="151"/>
      <c r="J167" s="152"/>
      <c r="K167" s="152"/>
      <c r="L167" s="152"/>
      <c r="M167" s="152"/>
      <c r="N167" s="150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customFormat="false" ht="11.25" hidden="false" customHeight="true" outlineLevel="0" collapsed="false">
      <c r="A168" s="89"/>
      <c r="B168" s="89"/>
      <c r="C168" s="89"/>
      <c r="D168" s="150"/>
      <c r="E168" s="152"/>
      <c r="F168" s="151"/>
      <c r="G168" s="151"/>
      <c r="H168" s="151"/>
      <c r="I168" s="151"/>
      <c r="J168" s="152"/>
      <c r="K168" s="152"/>
      <c r="L168" s="152"/>
      <c r="M168" s="152"/>
      <c r="N168" s="150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customFormat="false" ht="11.25" hidden="false" customHeight="true" outlineLevel="0" collapsed="false">
      <c r="A169" s="89"/>
      <c r="B169" s="89"/>
      <c r="C169" s="89"/>
      <c r="D169" s="150"/>
      <c r="E169" s="152"/>
      <c r="F169" s="151"/>
      <c r="G169" s="151"/>
      <c r="H169" s="151"/>
      <c r="I169" s="151"/>
      <c r="J169" s="152"/>
      <c r="K169" s="152"/>
      <c r="L169" s="152"/>
      <c r="M169" s="152"/>
      <c r="N169" s="150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customFormat="false" ht="11.25" hidden="false" customHeight="true" outlineLevel="0" collapsed="false">
      <c r="A170" s="89"/>
      <c r="B170" s="89"/>
      <c r="C170" s="89"/>
      <c r="D170" s="150"/>
      <c r="E170" s="152"/>
      <c r="F170" s="151"/>
      <c r="G170" s="151"/>
      <c r="H170" s="151"/>
      <c r="I170" s="151"/>
      <c r="J170" s="152"/>
      <c r="K170" s="152"/>
      <c r="L170" s="152"/>
      <c r="M170" s="152"/>
      <c r="N170" s="150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</row>
    <row r="171" customFormat="false" ht="11.25" hidden="false" customHeight="true" outlineLevel="0" collapsed="false">
      <c r="A171" s="89"/>
      <c r="B171" s="89"/>
      <c r="C171" s="89"/>
      <c r="D171" s="150"/>
      <c r="E171" s="152"/>
      <c r="F171" s="151"/>
      <c r="G171" s="151"/>
      <c r="H171" s="151"/>
      <c r="I171" s="151"/>
      <c r="J171" s="152"/>
      <c r="K171" s="152"/>
      <c r="L171" s="152"/>
      <c r="M171" s="152"/>
      <c r="N171" s="150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customFormat="false" ht="11.25" hidden="false" customHeight="true" outlineLevel="0" collapsed="false">
      <c r="A172" s="89"/>
      <c r="B172" s="89"/>
      <c r="C172" s="89"/>
      <c r="D172" s="150"/>
      <c r="E172" s="152"/>
      <c r="F172" s="151"/>
      <c r="G172" s="151"/>
      <c r="H172" s="151"/>
      <c r="I172" s="151"/>
      <c r="J172" s="152"/>
      <c r="K172" s="152"/>
      <c r="L172" s="152"/>
      <c r="M172" s="152"/>
      <c r="N172" s="150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customFormat="false" ht="11.25" hidden="false" customHeight="true" outlineLevel="0" collapsed="false">
      <c r="A173" s="89"/>
      <c r="B173" s="89"/>
      <c r="C173" s="89"/>
      <c r="D173" s="150"/>
      <c r="E173" s="152"/>
      <c r="F173" s="151"/>
      <c r="G173" s="151"/>
      <c r="H173" s="151"/>
      <c r="I173" s="151"/>
      <c r="J173" s="152"/>
      <c r="K173" s="152"/>
      <c r="L173" s="152"/>
      <c r="M173" s="152"/>
      <c r="N173" s="150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customFormat="false" ht="11.25" hidden="false" customHeight="true" outlineLevel="0" collapsed="false">
      <c r="A174" s="89"/>
      <c r="B174" s="89"/>
      <c r="C174" s="89"/>
      <c r="D174" s="150"/>
      <c r="E174" s="152"/>
      <c r="F174" s="151"/>
      <c r="G174" s="151"/>
      <c r="H174" s="151"/>
      <c r="I174" s="151"/>
      <c r="J174" s="152"/>
      <c r="K174" s="152"/>
      <c r="L174" s="152"/>
      <c r="M174" s="152"/>
      <c r="N174" s="150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customFormat="false" ht="11.25" hidden="false" customHeight="true" outlineLevel="0" collapsed="false">
      <c r="A175" s="89"/>
      <c r="B175" s="89"/>
      <c r="C175" s="89"/>
      <c r="D175" s="150"/>
      <c r="E175" s="152"/>
      <c r="F175" s="151"/>
      <c r="G175" s="151"/>
      <c r="H175" s="151"/>
      <c r="I175" s="151"/>
      <c r="J175" s="152"/>
      <c r="K175" s="152"/>
      <c r="L175" s="152"/>
      <c r="M175" s="152"/>
      <c r="N175" s="150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customFormat="false" ht="11.25" hidden="false" customHeight="true" outlineLevel="0" collapsed="false">
      <c r="A176" s="89"/>
      <c r="B176" s="89"/>
      <c r="C176" s="89"/>
      <c r="D176" s="150"/>
      <c r="E176" s="152"/>
      <c r="F176" s="151"/>
      <c r="G176" s="151"/>
      <c r="H176" s="151"/>
      <c r="I176" s="151"/>
      <c r="J176" s="152"/>
      <c r="K176" s="152"/>
      <c r="L176" s="152"/>
      <c r="M176" s="152"/>
      <c r="N176" s="150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customFormat="false" ht="11.25" hidden="false" customHeight="true" outlineLevel="0" collapsed="false">
      <c r="A177" s="89"/>
      <c r="B177" s="89"/>
      <c r="C177" s="89"/>
      <c r="D177" s="150"/>
      <c r="E177" s="152"/>
      <c r="F177" s="151"/>
      <c r="G177" s="151"/>
      <c r="H177" s="151"/>
      <c r="I177" s="151"/>
      <c r="J177" s="152"/>
      <c r="K177" s="152"/>
      <c r="L177" s="152"/>
      <c r="M177" s="152"/>
      <c r="N177" s="150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customFormat="false" ht="11.25" hidden="false" customHeight="true" outlineLevel="0" collapsed="false">
      <c r="A178" s="89"/>
      <c r="B178" s="89"/>
      <c r="C178" s="89"/>
      <c r="D178" s="150"/>
      <c r="E178" s="152"/>
      <c r="F178" s="151"/>
      <c r="G178" s="151"/>
      <c r="H178" s="151"/>
      <c r="I178" s="151"/>
      <c r="J178" s="152"/>
      <c r="K178" s="152"/>
      <c r="L178" s="152"/>
      <c r="M178" s="152"/>
      <c r="N178" s="150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customFormat="false" ht="11.25" hidden="false" customHeight="true" outlineLevel="0" collapsed="false">
      <c r="A179" s="89"/>
      <c r="B179" s="89"/>
      <c r="C179" s="89"/>
      <c r="D179" s="150"/>
      <c r="E179" s="152"/>
      <c r="F179" s="151"/>
      <c r="G179" s="151"/>
      <c r="H179" s="151"/>
      <c r="I179" s="151"/>
      <c r="J179" s="152"/>
      <c r="K179" s="152"/>
      <c r="L179" s="152"/>
      <c r="M179" s="152"/>
      <c r="N179" s="150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customFormat="false" ht="11.25" hidden="false" customHeight="true" outlineLevel="0" collapsed="false">
      <c r="A180" s="89"/>
      <c r="B180" s="89"/>
      <c r="C180" s="89"/>
      <c r="D180" s="150"/>
      <c r="E180" s="152"/>
      <c r="F180" s="151"/>
      <c r="G180" s="151"/>
      <c r="H180" s="151"/>
      <c r="I180" s="151"/>
      <c r="J180" s="152"/>
      <c r="K180" s="152"/>
      <c r="L180" s="152"/>
      <c r="M180" s="152"/>
      <c r="N180" s="150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customFormat="false" ht="11.25" hidden="false" customHeight="true" outlineLevel="0" collapsed="false">
      <c r="A181" s="89"/>
      <c r="B181" s="89"/>
      <c r="C181" s="89"/>
      <c r="D181" s="150"/>
      <c r="E181" s="152"/>
      <c r="F181" s="151"/>
      <c r="G181" s="151"/>
      <c r="H181" s="151"/>
      <c r="I181" s="151"/>
      <c r="J181" s="152"/>
      <c r="K181" s="152"/>
      <c r="L181" s="152"/>
      <c r="M181" s="152"/>
      <c r="N181" s="150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customFormat="false" ht="11.25" hidden="false" customHeight="true" outlineLevel="0" collapsed="false">
      <c r="A182" s="89"/>
      <c r="B182" s="89"/>
      <c r="C182" s="89"/>
      <c r="D182" s="150"/>
      <c r="E182" s="152"/>
      <c r="F182" s="151"/>
      <c r="G182" s="151"/>
      <c r="H182" s="151"/>
      <c r="I182" s="151"/>
      <c r="J182" s="152"/>
      <c r="K182" s="152"/>
      <c r="L182" s="152"/>
      <c r="M182" s="152"/>
      <c r="N182" s="150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customFormat="false" ht="11.25" hidden="false" customHeight="true" outlineLevel="0" collapsed="false">
      <c r="A183" s="89"/>
      <c r="B183" s="89"/>
      <c r="C183" s="89"/>
      <c r="D183" s="150"/>
      <c r="E183" s="152"/>
      <c r="F183" s="151"/>
      <c r="G183" s="151"/>
      <c r="H183" s="151"/>
      <c r="I183" s="151"/>
      <c r="J183" s="152"/>
      <c r="K183" s="152"/>
      <c r="L183" s="152"/>
      <c r="M183" s="152"/>
      <c r="N183" s="150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customFormat="false" ht="11.25" hidden="false" customHeight="true" outlineLevel="0" collapsed="false">
      <c r="A184" s="89"/>
      <c r="B184" s="89"/>
      <c r="C184" s="89"/>
      <c r="D184" s="150"/>
      <c r="E184" s="152"/>
      <c r="F184" s="151"/>
      <c r="G184" s="151"/>
      <c r="H184" s="151"/>
      <c r="I184" s="151"/>
      <c r="J184" s="152"/>
      <c r="K184" s="152"/>
      <c r="L184" s="152"/>
      <c r="M184" s="152"/>
      <c r="N184" s="150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customFormat="false" ht="11.25" hidden="false" customHeight="true" outlineLevel="0" collapsed="false">
      <c r="A185" s="89"/>
      <c r="B185" s="89"/>
      <c r="C185" s="89"/>
      <c r="D185" s="150"/>
      <c r="E185" s="152"/>
      <c r="F185" s="151"/>
      <c r="G185" s="151"/>
      <c r="H185" s="151"/>
      <c r="I185" s="151"/>
      <c r="J185" s="152"/>
      <c r="K185" s="152"/>
      <c r="L185" s="152"/>
      <c r="M185" s="152"/>
      <c r="N185" s="150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customFormat="false" ht="11.25" hidden="false" customHeight="true" outlineLevel="0" collapsed="false">
      <c r="A186" s="89"/>
      <c r="B186" s="89"/>
      <c r="C186" s="89"/>
      <c r="D186" s="150"/>
      <c r="E186" s="152"/>
      <c r="F186" s="151"/>
      <c r="G186" s="151"/>
      <c r="H186" s="151"/>
      <c r="I186" s="151"/>
      <c r="J186" s="152"/>
      <c r="K186" s="152"/>
      <c r="L186" s="152"/>
      <c r="M186" s="152"/>
      <c r="N186" s="150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customFormat="false" ht="11.25" hidden="false" customHeight="true" outlineLevel="0" collapsed="false">
      <c r="A187" s="89"/>
      <c r="B187" s="89"/>
      <c r="C187" s="89"/>
      <c r="D187" s="150"/>
      <c r="E187" s="152"/>
      <c r="F187" s="151"/>
      <c r="G187" s="151"/>
      <c r="H187" s="151"/>
      <c r="I187" s="151"/>
      <c r="J187" s="152"/>
      <c r="K187" s="152"/>
      <c r="L187" s="152"/>
      <c r="M187" s="152"/>
      <c r="N187" s="150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customFormat="false" ht="11.25" hidden="false" customHeight="true" outlineLevel="0" collapsed="false">
      <c r="A188" s="89"/>
      <c r="B188" s="89"/>
      <c r="C188" s="89"/>
      <c r="D188" s="150"/>
      <c r="E188" s="152"/>
      <c r="F188" s="151"/>
      <c r="G188" s="151"/>
      <c r="H188" s="151"/>
      <c r="I188" s="151"/>
      <c r="J188" s="152"/>
      <c r="K188" s="152"/>
      <c r="L188" s="152"/>
      <c r="M188" s="152"/>
      <c r="N188" s="150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customFormat="false" ht="11.25" hidden="false" customHeight="true" outlineLevel="0" collapsed="false">
      <c r="A189" s="89"/>
      <c r="B189" s="89"/>
      <c r="C189" s="89"/>
      <c r="D189" s="150"/>
      <c r="E189" s="152"/>
      <c r="F189" s="151"/>
      <c r="G189" s="151"/>
      <c r="H189" s="151"/>
      <c r="I189" s="151"/>
      <c r="J189" s="152"/>
      <c r="K189" s="152"/>
      <c r="L189" s="152"/>
      <c r="M189" s="152"/>
      <c r="N189" s="150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customFormat="false" ht="11.25" hidden="false" customHeight="true" outlineLevel="0" collapsed="false">
      <c r="A190" s="89"/>
      <c r="B190" s="89"/>
      <c r="C190" s="89"/>
      <c r="D190" s="150"/>
      <c r="E190" s="152"/>
      <c r="F190" s="151"/>
      <c r="G190" s="151"/>
      <c r="H190" s="151"/>
      <c r="I190" s="151"/>
      <c r="J190" s="152"/>
      <c r="K190" s="152"/>
      <c r="L190" s="152"/>
      <c r="M190" s="152"/>
      <c r="N190" s="150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customFormat="false" ht="11.25" hidden="false" customHeight="true" outlineLevel="0" collapsed="false">
      <c r="A191" s="89"/>
      <c r="B191" s="89"/>
      <c r="C191" s="89"/>
      <c r="D191" s="150"/>
      <c r="E191" s="152"/>
      <c r="F191" s="151"/>
      <c r="G191" s="151"/>
      <c r="H191" s="151"/>
      <c r="I191" s="151"/>
      <c r="J191" s="152"/>
      <c r="K191" s="152"/>
      <c r="L191" s="152"/>
      <c r="M191" s="152"/>
      <c r="N191" s="150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customFormat="false" ht="11.25" hidden="false" customHeight="true" outlineLevel="0" collapsed="false">
      <c r="A192" s="89"/>
      <c r="B192" s="89"/>
      <c r="C192" s="89"/>
      <c r="D192" s="150"/>
      <c r="E192" s="152"/>
      <c r="F192" s="151"/>
      <c r="G192" s="151"/>
      <c r="H192" s="151"/>
      <c r="I192" s="151"/>
      <c r="J192" s="152"/>
      <c r="K192" s="152"/>
      <c r="L192" s="152"/>
      <c r="M192" s="152"/>
      <c r="N192" s="150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customFormat="false" ht="11.25" hidden="false" customHeight="true" outlineLevel="0" collapsed="false">
      <c r="A193" s="89"/>
      <c r="B193" s="89"/>
      <c r="C193" s="89"/>
      <c r="D193" s="150"/>
      <c r="E193" s="152"/>
      <c r="F193" s="151"/>
      <c r="G193" s="151"/>
      <c r="H193" s="151"/>
      <c r="I193" s="151"/>
      <c r="J193" s="152"/>
      <c r="K193" s="152"/>
      <c r="L193" s="152"/>
      <c r="M193" s="152"/>
      <c r="N193" s="150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customFormat="false" ht="11.25" hidden="false" customHeight="true" outlineLevel="0" collapsed="false">
      <c r="A194" s="89"/>
      <c r="B194" s="89"/>
      <c r="C194" s="89"/>
      <c r="D194" s="150"/>
      <c r="E194" s="152"/>
      <c r="F194" s="151"/>
      <c r="G194" s="151"/>
      <c r="H194" s="151"/>
      <c r="I194" s="151"/>
      <c r="J194" s="152"/>
      <c r="K194" s="152"/>
      <c r="L194" s="152"/>
      <c r="M194" s="152"/>
      <c r="N194" s="150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customFormat="false" ht="11.25" hidden="false" customHeight="true" outlineLevel="0" collapsed="false">
      <c r="A195" s="89"/>
      <c r="B195" s="89"/>
      <c r="C195" s="89"/>
      <c r="D195" s="150"/>
      <c r="E195" s="152"/>
      <c r="F195" s="151"/>
      <c r="G195" s="151"/>
      <c r="H195" s="151"/>
      <c r="I195" s="151"/>
      <c r="J195" s="152"/>
      <c r="K195" s="152"/>
      <c r="L195" s="152"/>
      <c r="M195" s="152"/>
      <c r="N195" s="150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customFormat="false" ht="11.25" hidden="false" customHeight="true" outlineLevel="0" collapsed="false">
      <c r="A196" s="89"/>
      <c r="B196" s="89"/>
      <c r="C196" s="89"/>
      <c r="D196" s="150"/>
      <c r="E196" s="152"/>
      <c r="F196" s="151"/>
      <c r="G196" s="151"/>
      <c r="H196" s="151"/>
      <c r="I196" s="151"/>
      <c r="J196" s="152"/>
      <c r="K196" s="152"/>
      <c r="L196" s="152"/>
      <c r="M196" s="152"/>
      <c r="N196" s="150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</row>
    <row r="197" customFormat="false" ht="11.25" hidden="false" customHeight="true" outlineLevel="0" collapsed="false">
      <c r="A197" s="89"/>
      <c r="B197" s="89"/>
      <c r="C197" s="89"/>
      <c r="D197" s="150"/>
      <c r="E197" s="152"/>
      <c r="F197" s="151"/>
      <c r="G197" s="151"/>
      <c r="H197" s="151"/>
      <c r="I197" s="151"/>
      <c r="J197" s="152"/>
      <c r="K197" s="152"/>
      <c r="L197" s="152"/>
      <c r="M197" s="152"/>
      <c r="N197" s="150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customFormat="false" ht="11.25" hidden="false" customHeight="true" outlineLevel="0" collapsed="false">
      <c r="A198" s="89"/>
      <c r="B198" s="89"/>
      <c r="C198" s="89"/>
      <c r="D198" s="150"/>
      <c r="E198" s="152"/>
      <c r="F198" s="151"/>
      <c r="G198" s="151"/>
      <c r="H198" s="151"/>
      <c r="I198" s="151"/>
      <c r="J198" s="152"/>
      <c r="K198" s="152"/>
      <c r="L198" s="152"/>
      <c r="M198" s="152"/>
      <c r="N198" s="150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customFormat="false" ht="11.25" hidden="false" customHeight="true" outlineLevel="0" collapsed="false">
      <c r="A199" s="89"/>
      <c r="B199" s="89"/>
      <c r="C199" s="89"/>
      <c r="D199" s="150"/>
      <c r="E199" s="152"/>
      <c r="F199" s="151"/>
      <c r="G199" s="151"/>
      <c r="H199" s="151"/>
      <c r="I199" s="151"/>
      <c r="J199" s="152"/>
      <c r="K199" s="152"/>
      <c r="L199" s="152"/>
      <c r="M199" s="152"/>
      <c r="N199" s="150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customFormat="false" ht="11.25" hidden="false" customHeight="true" outlineLevel="0" collapsed="false">
      <c r="A200" s="89"/>
      <c r="B200" s="89"/>
      <c r="C200" s="89"/>
      <c r="D200" s="150"/>
      <c r="E200" s="152"/>
      <c r="F200" s="151"/>
      <c r="G200" s="151"/>
      <c r="H200" s="151"/>
      <c r="I200" s="151"/>
      <c r="J200" s="152"/>
      <c r="K200" s="152"/>
      <c r="L200" s="152"/>
      <c r="M200" s="152"/>
      <c r="N200" s="150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customFormat="false" ht="11.25" hidden="false" customHeight="true" outlineLevel="0" collapsed="false">
      <c r="A201" s="89"/>
      <c r="B201" s="89"/>
      <c r="C201" s="89"/>
      <c r="D201" s="150"/>
      <c r="E201" s="152"/>
      <c r="F201" s="151"/>
      <c r="G201" s="151"/>
      <c r="H201" s="151"/>
      <c r="I201" s="151"/>
      <c r="J201" s="152"/>
      <c r="K201" s="152"/>
      <c r="L201" s="152"/>
      <c r="M201" s="152"/>
      <c r="N201" s="150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customFormat="false" ht="11.25" hidden="false" customHeight="true" outlineLevel="0" collapsed="false">
      <c r="A202" s="89"/>
      <c r="B202" s="89"/>
      <c r="C202" s="89"/>
      <c r="D202" s="150"/>
      <c r="E202" s="152"/>
      <c r="F202" s="151"/>
      <c r="G202" s="151"/>
      <c r="H202" s="151"/>
      <c r="I202" s="151"/>
      <c r="J202" s="152"/>
      <c r="K202" s="152"/>
      <c r="L202" s="152"/>
      <c r="M202" s="152"/>
      <c r="N202" s="150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customFormat="false" ht="11.25" hidden="false" customHeight="true" outlineLevel="0" collapsed="false">
      <c r="A203" s="89"/>
      <c r="B203" s="89"/>
      <c r="C203" s="89"/>
      <c r="D203" s="150"/>
      <c r="E203" s="152"/>
      <c r="F203" s="151"/>
      <c r="G203" s="151"/>
      <c r="H203" s="151"/>
      <c r="I203" s="151"/>
      <c r="J203" s="152"/>
      <c r="K203" s="152"/>
      <c r="L203" s="152"/>
      <c r="M203" s="152"/>
      <c r="N203" s="150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customFormat="false" ht="11.25" hidden="false" customHeight="true" outlineLevel="0" collapsed="false">
      <c r="A204" s="89"/>
      <c r="B204" s="89"/>
      <c r="C204" s="89"/>
      <c r="D204" s="150"/>
      <c r="E204" s="152"/>
      <c r="F204" s="151"/>
      <c r="G204" s="151"/>
      <c r="H204" s="151"/>
      <c r="I204" s="151"/>
      <c r="J204" s="152"/>
      <c r="K204" s="152"/>
      <c r="L204" s="152"/>
      <c r="M204" s="152"/>
      <c r="N204" s="150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customFormat="false" ht="11.25" hidden="false" customHeight="true" outlineLevel="0" collapsed="false">
      <c r="A205" s="89"/>
      <c r="B205" s="89"/>
      <c r="C205" s="89"/>
      <c r="D205" s="150"/>
      <c r="E205" s="152"/>
      <c r="F205" s="151"/>
      <c r="G205" s="151"/>
      <c r="H205" s="151"/>
      <c r="I205" s="151"/>
      <c r="J205" s="152"/>
      <c r="K205" s="152"/>
      <c r="L205" s="152"/>
      <c r="M205" s="152"/>
      <c r="N205" s="150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customFormat="false" ht="11.25" hidden="false" customHeight="true" outlineLevel="0" collapsed="false">
      <c r="A206" s="89"/>
      <c r="B206" s="89"/>
      <c r="C206" s="89"/>
      <c r="D206" s="150"/>
      <c r="E206" s="152"/>
      <c r="F206" s="151"/>
      <c r="G206" s="151"/>
      <c r="H206" s="151"/>
      <c r="I206" s="151"/>
      <c r="J206" s="152"/>
      <c r="K206" s="152"/>
      <c r="L206" s="152"/>
      <c r="M206" s="152"/>
      <c r="N206" s="150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customFormat="false" ht="11.25" hidden="false" customHeight="true" outlineLevel="0" collapsed="false">
      <c r="A207" s="89"/>
      <c r="B207" s="89"/>
      <c r="C207" s="89"/>
      <c r="D207" s="150"/>
      <c r="E207" s="152"/>
      <c r="F207" s="151"/>
      <c r="G207" s="151"/>
      <c r="H207" s="151"/>
      <c r="I207" s="151"/>
      <c r="J207" s="152"/>
      <c r="K207" s="152"/>
      <c r="L207" s="152"/>
      <c r="M207" s="152"/>
      <c r="N207" s="150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customFormat="false" ht="11.25" hidden="false" customHeight="true" outlineLevel="0" collapsed="false">
      <c r="A208" s="89"/>
      <c r="B208" s="89"/>
      <c r="C208" s="89"/>
      <c r="D208" s="150"/>
      <c r="E208" s="152"/>
      <c r="F208" s="151"/>
      <c r="G208" s="151"/>
      <c r="H208" s="151"/>
      <c r="I208" s="151"/>
      <c r="J208" s="152"/>
      <c r="K208" s="152"/>
      <c r="L208" s="152"/>
      <c r="M208" s="152"/>
      <c r="N208" s="150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customFormat="false" ht="11.25" hidden="false" customHeight="true" outlineLevel="0" collapsed="false">
      <c r="A209" s="89"/>
      <c r="B209" s="89"/>
      <c r="C209" s="89"/>
      <c r="D209" s="150"/>
      <c r="E209" s="152"/>
      <c r="F209" s="151"/>
      <c r="G209" s="151"/>
      <c r="H209" s="151"/>
      <c r="I209" s="151"/>
      <c r="J209" s="152"/>
      <c r="K209" s="152"/>
      <c r="L209" s="152"/>
      <c r="M209" s="152"/>
      <c r="N209" s="150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customFormat="false" ht="11.25" hidden="false" customHeight="true" outlineLevel="0" collapsed="false">
      <c r="A210" s="89"/>
      <c r="B210" s="89"/>
      <c r="C210" s="89"/>
      <c r="D210" s="150"/>
      <c r="E210" s="152"/>
      <c r="F210" s="151"/>
      <c r="G210" s="151"/>
      <c r="H210" s="151"/>
      <c r="I210" s="151"/>
      <c r="J210" s="152"/>
      <c r="K210" s="152"/>
      <c r="L210" s="152"/>
      <c r="M210" s="152"/>
      <c r="N210" s="150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customFormat="false" ht="11.25" hidden="false" customHeight="true" outlineLevel="0" collapsed="false">
      <c r="A211" s="89"/>
      <c r="B211" s="89"/>
      <c r="C211" s="89"/>
      <c r="D211" s="150"/>
      <c r="E211" s="152"/>
      <c r="F211" s="151"/>
      <c r="G211" s="151"/>
      <c r="H211" s="151"/>
      <c r="I211" s="151"/>
      <c r="J211" s="152"/>
      <c r="K211" s="152"/>
      <c r="L211" s="152"/>
      <c r="M211" s="152"/>
      <c r="N211" s="150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customFormat="false" ht="11.25" hidden="false" customHeight="true" outlineLevel="0" collapsed="false">
      <c r="A212" s="89"/>
      <c r="B212" s="89"/>
      <c r="C212" s="89"/>
      <c r="D212" s="150"/>
      <c r="E212" s="152"/>
      <c r="F212" s="151"/>
      <c r="G212" s="151"/>
      <c r="H212" s="151"/>
      <c r="I212" s="151"/>
      <c r="J212" s="152"/>
      <c r="K212" s="152"/>
      <c r="L212" s="152"/>
      <c r="M212" s="152"/>
      <c r="N212" s="150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customFormat="false" ht="11.25" hidden="false" customHeight="true" outlineLevel="0" collapsed="false">
      <c r="A213" s="89"/>
      <c r="B213" s="89"/>
      <c r="C213" s="89"/>
      <c r="D213" s="150"/>
      <c r="E213" s="152"/>
      <c r="F213" s="151"/>
      <c r="G213" s="151"/>
      <c r="H213" s="151"/>
      <c r="I213" s="151"/>
      <c r="J213" s="152"/>
      <c r="K213" s="152"/>
      <c r="L213" s="152"/>
      <c r="M213" s="152"/>
      <c r="N213" s="150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customFormat="false" ht="11.25" hidden="false" customHeight="true" outlineLevel="0" collapsed="false">
      <c r="A214" s="89"/>
      <c r="B214" s="89"/>
      <c r="C214" s="89"/>
      <c r="D214" s="150"/>
      <c r="E214" s="152"/>
      <c r="F214" s="151"/>
      <c r="G214" s="151"/>
      <c r="H214" s="151"/>
      <c r="I214" s="151"/>
      <c r="J214" s="152"/>
      <c r="K214" s="152"/>
      <c r="L214" s="152"/>
      <c r="M214" s="152"/>
      <c r="N214" s="150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customFormat="false" ht="11.25" hidden="false" customHeight="true" outlineLevel="0" collapsed="false">
      <c r="A215" s="89"/>
      <c r="B215" s="89"/>
      <c r="C215" s="89"/>
      <c r="D215" s="150"/>
      <c r="E215" s="152"/>
      <c r="F215" s="151"/>
      <c r="G215" s="151"/>
      <c r="H215" s="151"/>
      <c r="I215" s="151"/>
      <c r="J215" s="152"/>
      <c r="K215" s="152"/>
      <c r="L215" s="152"/>
      <c r="M215" s="152"/>
      <c r="N215" s="150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customFormat="false" ht="11.25" hidden="false" customHeight="true" outlineLevel="0" collapsed="false">
      <c r="A216" s="89"/>
      <c r="B216" s="89"/>
      <c r="C216" s="89"/>
      <c r="D216" s="150"/>
      <c r="E216" s="152"/>
      <c r="F216" s="151"/>
      <c r="G216" s="151"/>
      <c r="H216" s="151"/>
      <c r="I216" s="151"/>
      <c r="J216" s="152"/>
      <c r="K216" s="152"/>
      <c r="L216" s="152"/>
      <c r="M216" s="152"/>
      <c r="N216" s="150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customFormat="false" ht="11.25" hidden="false" customHeight="true" outlineLevel="0" collapsed="false">
      <c r="A217" s="89"/>
      <c r="B217" s="89"/>
      <c r="C217" s="89"/>
      <c r="D217" s="150"/>
      <c r="E217" s="152"/>
      <c r="F217" s="151"/>
      <c r="G217" s="151"/>
      <c r="H217" s="151"/>
      <c r="I217" s="151"/>
      <c r="J217" s="152"/>
      <c r="K217" s="152"/>
      <c r="L217" s="152"/>
      <c r="M217" s="152"/>
      <c r="N217" s="150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customFormat="false" ht="11.25" hidden="false" customHeight="true" outlineLevel="0" collapsed="false">
      <c r="A218" s="89"/>
      <c r="B218" s="89"/>
      <c r="C218" s="89"/>
      <c r="D218" s="150"/>
      <c r="E218" s="152"/>
      <c r="F218" s="151"/>
      <c r="G218" s="151"/>
      <c r="H218" s="151"/>
      <c r="I218" s="151"/>
      <c r="J218" s="152"/>
      <c r="K218" s="152"/>
      <c r="L218" s="152"/>
      <c r="M218" s="152"/>
      <c r="N218" s="150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customFormat="false" ht="11.25" hidden="false" customHeight="true" outlineLevel="0" collapsed="false">
      <c r="A219" s="89"/>
      <c r="B219" s="89"/>
      <c r="C219" s="89"/>
      <c r="D219" s="150"/>
      <c r="E219" s="152"/>
      <c r="F219" s="151"/>
      <c r="G219" s="151"/>
      <c r="H219" s="151"/>
      <c r="I219" s="151"/>
      <c r="J219" s="152"/>
      <c r="K219" s="152"/>
      <c r="L219" s="152"/>
      <c r="M219" s="152"/>
      <c r="N219" s="150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customFormat="false" ht="11.25" hidden="false" customHeight="true" outlineLevel="0" collapsed="false">
      <c r="A220" s="89"/>
      <c r="B220" s="89"/>
      <c r="C220" s="89"/>
      <c r="D220" s="150"/>
      <c r="E220" s="152"/>
      <c r="F220" s="151"/>
      <c r="G220" s="151"/>
      <c r="H220" s="151"/>
      <c r="I220" s="151"/>
      <c r="J220" s="152"/>
      <c r="K220" s="152"/>
      <c r="L220" s="152"/>
      <c r="M220" s="152"/>
      <c r="N220" s="150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customFormat="false" ht="11.25" hidden="false" customHeight="true" outlineLevel="0" collapsed="false">
      <c r="A221" s="89"/>
      <c r="B221" s="89"/>
      <c r="C221" s="89"/>
      <c r="D221" s="150"/>
      <c r="E221" s="152"/>
      <c r="F221" s="151"/>
      <c r="G221" s="151"/>
      <c r="H221" s="151"/>
      <c r="I221" s="151"/>
      <c r="J221" s="152"/>
      <c r="K221" s="152"/>
      <c r="L221" s="152"/>
      <c r="M221" s="152"/>
      <c r="N221" s="150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</row>
    <row r="222" customFormat="false" ht="11.25" hidden="false" customHeight="true" outlineLevel="0" collapsed="false">
      <c r="A222" s="89"/>
      <c r="B222" s="89"/>
      <c r="C222" s="89"/>
      <c r="D222" s="150"/>
      <c r="E222" s="152"/>
      <c r="F222" s="151"/>
      <c r="G222" s="151"/>
      <c r="H222" s="151"/>
      <c r="I222" s="151"/>
      <c r="J222" s="152"/>
      <c r="K222" s="152"/>
      <c r="L222" s="152"/>
      <c r="M222" s="152"/>
      <c r="N222" s="150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</row>
    <row r="223" customFormat="false" ht="11.25" hidden="false" customHeight="true" outlineLevel="0" collapsed="false">
      <c r="A223" s="89"/>
      <c r="B223" s="89"/>
      <c r="C223" s="89"/>
      <c r="D223" s="150"/>
      <c r="E223" s="152"/>
      <c r="F223" s="151"/>
      <c r="G223" s="151"/>
      <c r="H223" s="151"/>
      <c r="I223" s="151"/>
      <c r="J223" s="152"/>
      <c r="K223" s="152"/>
      <c r="L223" s="152"/>
      <c r="M223" s="152"/>
      <c r="N223" s="150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</row>
    <row r="224" customFormat="false" ht="11.25" hidden="false" customHeight="true" outlineLevel="0" collapsed="false">
      <c r="A224" s="89"/>
      <c r="B224" s="89"/>
      <c r="C224" s="89"/>
      <c r="D224" s="150"/>
      <c r="E224" s="152"/>
      <c r="F224" s="151"/>
      <c r="G224" s="151"/>
      <c r="H224" s="151"/>
      <c r="I224" s="151"/>
      <c r="J224" s="152"/>
      <c r="K224" s="152"/>
      <c r="L224" s="152"/>
      <c r="M224" s="152"/>
      <c r="N224" s="150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</row>
    <row r="225" customFormat="false" ht="11.25" hidden="false" customHeight="true" outlineLevel="0" collapsed="false">
      <c r="A225" s="89"/>
      <c r="B225" s="89"/>
      <c r="C225" s="89"/>
      <c r="D225" s="150"/>
      <c r="E225" s="152"/>
      <c r="F225" s="151"/>
      <c r="G225" s="151"/>
      <c r="H225" s="151"/>
      <c r="I225" s="151"/>
      <c r="J225" s="152"/>
      <c r="K225" s="152"/>
      <c r="L225" s="152"/>
      <c r="M225" s="152"/>
      <c r="N225" s="150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</row>
    <row r="226" customFormat="false" ht="11.25" hidden="false" customHeight="true" outlineLevel="0" collapsed="false">
      <c r="A226" s="89"/>
      <c r="B226" s="89"/>
      <c r="C226" s="89"/>
      <c r="D226" s="150"/>
      <c r="E226" s="152"/>
      <c r="F226" s="151"/>
      <c r="G226" s="151"/>
      <c r="H226" s="151"/>
      <c r="I226" s="151"/>
      <c r="J226" s="152"/>
      <c r="K226" s="152"/>
      <c r="L226" s="152"/>
      <c r="M226" s="152"/>
      <c r="N226" s="150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</row>
    <row r="227" customFormat="false" ht="11.25" hidden="false" customHeight="true" outlineLevel="0" collapsed="false">
      <c r="A227" s="89"/>
      <c r="B227" s="89"/>
      <c r="C227" s="89"/>
      <c r="D227" s="150"/>
      <c r="E227" s="152"/>
      <c r="F227" s="151"/>
      <c r="G227" s="151"/>
      <c r="H227" s="151"/>
      <c r="I227" s="151"/>
      <c r="J227" s="152"/>
      <c r="K227" s="152"/>
      <c r="L227" s="152"/>
      <c r="M227" s="152"/>
      <c r="N227" s="150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</row>
    <row r="228" customFormat="false" ht="11.25" hidden="false" customHeight="true" outlineLevel="0" collapsed="false">
      <c r="A228" s="89"/>
      <c r="B228" s="89"/>
      <c r="C228" s="89"/>
      <c r="D228" s="150"/>
      <c r="E228" s="152"/>
      <c r="F228" s="151"/>
      <c r="G228" s="151"/>
      <c r="H228" s="151"/>
      <c r="I228" s="151"/>
      <c r="J228" s="152"/>
      <c r="K228" s="152"/>
      <c r="L228" s="152"/>
      <c r="M228" s="152"/>
      <c r="N228" s="150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</row>
    <row r="229" customFormat="false" ht="11.25" hidden="false" customHeight="true" outlineLevel="0" collapsed="false">
      <c r="A229" s="89"/>
      <c r="B229" s="89"/>
      <c r="C229" s="89"/>
      <c r="D229" s="150"/>
      <c r="E229" s="152"/>
      <c r="F229" s="151"/>
      <c r="G229" s="151"/>
      <c r="H229" s="151"/>
      <c r="I229" s="151"/>
      <c r="J229" s="152"/>
      <c r="K229" s="152"/>
      <c r="L229" s="152"/>
      <c r="M229" s="152"/>
      <c r="N229" s="150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</row>
    <row r="230" customFormat="false" ht="11.25" hidden="false" customHeight="true" outlineLevel="0" collapsed="false">
      <c r="A230" s="89"/>
      <c r="B230" s="89"/>
      <c r="C230" s="89"/>
      <c r="D230" s="150"/>
      <c r="E230" s="152"/>
      <c r="F230" s="151"/>
      <c r="G230" s="151"/>
      <c r="H230" s="151"/>
      <c r="I230" s="151"/>
      <c r="J230" s="152"/>
      <c r="K230" s="152"/>
      <c r="L230" s="152"/>
      <c r="M230" s="152"/>
      <c r="N230" s="150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</row>
    <row r="231" customFormat="false" ht="11.25" hidden="false" customHeight="true" outlineLevel="0" collapsed="false">
      <c r="A231" s="89"/>
      <c r="B231" s="89"/>
      <c r="C231" s="89"/>
      <c r="D231" s="150"/>
      <c r="E231" s="152"/>
      <c r="F231" s="151"/>
      <c r="G231" s="151"/>
      <c r="H231" s="151"/>
      <c r="I231" s="151"/>
      <c r="J231" s="152"/>
      <c r="K231" s="152"/>
      <c r="L231" s="152"/>
      <c r="M231" s="152"/>
      <c r="N231" s="150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</row>
    <row r="232" customFormat="false" ht="11.25" hidden="false" customHeight="true" outlineLevel="0" collapsed="false">
      <c r="A232" s="89"/>
      <c r="B232" s="89"/>
      <c r="C232" s="89"/>
      <c r="D232" s="150"/>
      <c r="E232" s="152"/>
      <c r="F232" s="151"/>
      <c r="G232" s="151"/>
      <c r="H232" s="151"/>
      <c r="I232" s="151"/>
      <c r="J232" s="152"/>
      <c r="K232" s="152"/>
      <c r="L232" s="152"/>
      <c r="M232" s="152"/>
      <c r="N232" s="150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</row>
    <row r="233" customFormat="false" ht="11.25" hidden="false" customHeight="true" outlineLevel="0" collapsed="false">
      <c r="A233" s="89"/>
      <c r="B233" s="89"/>
      <c r="C233" s="89"/>
      <c r="D233" s="150"/>
      <c r="E233" s="152"/>
      <c r="F233" s="151"/>
      <c r="G233" s="151"/>
      <c r="H233" s="151"/>
      <c r="I233" s="151"/>
      <c r="J233" s="152"/>
      <c r="K233" s="152"/>
      <c r="L233" s="152"/>
      <c r="M233" s="152"/>
      <c r="N233" s="150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</row>
    <row r="234" customFormat="false" ht="11.25" hidden="false" customHeight="true" outlineLevel="0" collapsed="false">
      <c r="A234" s="89"/>
      <c r="B234" s="89"/>
      <c r="C234" s="89"/>
      <c r="D234" s="150"/>
      <c r="E234" s="152"/>
      <c r="F234" s="151"/>
      <c r="G234" s="151"/>
      <c r="H234" s="151"/>
      <c r="I234" s="151"/>
      <c r="J234" s="152"/>
      <c r="K234" s="152"/>
      <c r="L234" s="152"/>
      <c r="M234" s="152"/>
      <c r="N234" s="150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</row>
    <row r="235" customFormat="false" ht="11.25" hidden="false" customHeight="true" outlineLevel="0" collapsed="false">
      <c r="A235" s="89"/>
      <c r="B235" s="89"/>
      <c r="C235" s="89"/>
      <c r="D235" s="150"/>
      <c r="E235" s="152"/>
      <c r="F235" s="151"/>
      <c r="G235" s="151"/>
      <c r="H235" s="151"/>
      <c r="I235" s="151"/>
      <c r="J235" s="152"/>
      <c r="K235" s="152"/>
      <c r="L235" s="152"/>
      <c r="M235" s="152"/>
      <c r="N235" s="150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</row>
    <row r="236" customFormat="false" ht="11.25" hidden="false" customHeight="true" outlineLevel="0" collapsed="false">
      <c r="A236" s="89"/>
      <c r="B236" s="89"/>
      <c r="C236" s="89"/>
      <c r="D236" s="150"/>
      <c r="E236" s="152"/>
      <c r="F236" s="151"/>
      <c r="G236" s="151"/>
      <c r="H236" s="151"/>
      <c r="I236" s="151"/>
      <c r="J236" s="152"/>
      <c r="K236" s="152"/>
      <c r="L236" s="152"/>
      <c r="M236" s="152"/>
      <c r="N236" s="150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</row>
    <row r="237" customFormat="false" ht="11.25" hidden="false" customHeight="true" outlineLevel="0" collapsed="false">
      <c r="A237" s="89"/>
      <c r="B237" s="89"/>
      <c r="C237" s="89"/>
      <c r="D237" s="150"/>
      <c r="E237" s="152"/>
      <c r="F237" s="151"/>
      <c r="G237" s="151"/>
      <c r="H237" s="151"/>
      <c r="I237" s="151"/>
      <c r="J237" s="152"/>
      <c r="K237" s="152"/>
      <c r="L237" s="152"/>
      <c r="M237" s="152"/>
      <c r="N237" s="150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</row>
    <row r="238" customFormat="false" ht="11.25" hidden="false" customHeight="true" outlineLevel="0" collapsed="false">
      <c r="A238" s="89"/>
      <c r="B238" s="89"/>
      <c r="C238" s="89"/>
      <c r="D238" s="150"/>
      <c r="E238" s="152"/>
      <c r="F238" s="151"/>
      <c r="G238" s="151"/>
      <c r="H238" s="151"/>
      <c r="I238" s="151"/>
      <c r="J238" s="152"/>
      <c r="K238" s="152"/>
      <c r="L238" s="152"/>
      <c r="M238" s="152"/>
      <c r="N238" s="150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</row>
    <row r="239" customFormat="false" ht="11.25" hidden="false" customHeight="true" outlineLevel="0" collapsed="false">
      <c r="A239" s="89"/>
      <c r="B239" s="89"/>
      <c r="C239" s="89"/>
      <c r="D239" s="150"/>
      <c r="E239" s="152"/>
      <c r="F239" s="151"/>
      <c r="G239" s="151"/>
      <c r="H239" s="151"/>
      <c r="I239" s="151"/>
      <c r="J239" s="152"/>
      <c r="K239" s="152"/>
      <c r="L239" s="152"/>
      <c r="M239" s="152"/>
      <c r="N239" s="150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</row>
    <row r="240" customFormat="false" ht="11.25" hidden="false" customHeight="true" outlineLevel="0" collapsed="false">
      <c r="A240" s="89"/>
      <c r="B240" s="89"/>
      <c r="C240" s="89"/>
      <c r="D240" s="150"/>
      <c r="E240" s="152"/>
      <c r="F240" s="151"/>
      <c r="G240" s="151"/>
      <c r="H240" s="151"/>
      <c r="I240" s="151"/>
      <c r="J240" s="152"/>
      <c r="K240" s="152"/>
      <c r="L240" s="152"/>
      <c r="M240" s="152"/>
      <c r="N240" s="150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</row>
    <row r="241" customFormat="false" ht="11.25" hidden="false" customHeight="true" outlineLevel="0" collapsed="false">
      <c r="A241" s="89"/>
      <c r="B241" s="89"/>
      <c r="C241" s="89"/>
      <c r="D241" s="150"/>
      <c r="E241" s="152"/>
      <c r="F241" s="151"/>
      <c r="G241" s="151"/>
      <c r="H241" s="151"/>
      <c r="I241" s="151"/>
      <c r="J241" s="152"/>
      <c r="K241" s="152"/>
      <c r="L241" s="152"/>
      <c r="M241" s="152"/>
      <c r="N241" s="150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</row>
    <row r="242" customFormat="false" ht="11.25" hidden="false" customHeight="true" outlineLevel="0" collapsed="false">
      <c r="A242" s="89"/>
      <c r="B242" s="89"/>
      <c r="C242" s="89"/>
      <c r="D242" s="150"/>
      <c r="E242" s="152"/>
      <c r="F242" s="151"/>
      <c r="G242" s="151"/>
      <c r="H242" s="151"/>
      <c r="I242" s="151"/>
      <c r="J242" s="152"/>
      <c r="K242" s="152"/>
      <c r="L242" s="152"/>
      <c r="M242" s="152"/>
      <c r="N242" s="150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</row>
    <row r="243" customFormat="false" ht="11.25" hidden="false" customHeight="true" outlineLevel="0" collapsed="false">
      <c r="A243" s="89"/>
      <c r="B243" s="89"/>
      <c r="C243" s="89"/>
      <c r="D243" s="150"/>
      <c r="E243" s="152"/>
      <c r="F243" s="151"/>
      <c r="G243" s="151"/>
      <c r="H243" s="151"/>
      <c r="I243" s="151"/>
      <c r="J243" s="152"/>
      <c r="K243" s="152"/>
      <c r="L243" s="152"/>
      <c r="M243" s="152"/>
      <c r="N243" s="150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</row>
    <row r="244" customFormat="false" ht="11.25" hidden="false" customHeight="true" outlineLevel="0" collapsed="false">
      <c r="A244" s="89"/>
      <c r="B244" s="89"/>
      <c r="C244" s="89"/>
      <c r="D244" s="150"/>
      <c r="E244" s="152"/>
      <c r="F244" s="151"/>
      <c r="G244" s="151"/>
      <c r="H244" s="151"/>
      <c r="I244" s="151"/>
      <c r="J244" s="152"/>
      <c r="K244" s="152"/>
      <c r="L244" s="152"/>
      <c r="M244" s="152"/>
      <c r="N244" s="150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</row>
    <row r="245" customFormat="false" ht="11.25" hidden="false" customHeight="true" outlineLevel="0" collapsed="false">
      <c r="A245" s="89"/>
      <c r="B245" s="89"/>
      <c r="C245" s="89"/>
      <c r="D245" s="150"/>
      <c r="E245" s="152"/>
      <c r="F245" s="151"/>
      <c r="G245" s="151"/>
      <c r="H245" s="151"/>
      <c r="I245" s="151"/>
      <c r="J245" s="152"/>
      <c r="K245" s="152"/>
      <c r="L245" s="152"/>
      <c r="M245" s="152"/>
      <c r="N245" s="150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</row>
    <row r="246" customFormat="false" ht="11.25" hidden="false" customHeight="true" outlineLevel="0" collapsed="false">
      <c r="A246" s="89"/>
      <c r="B246" s="89"/>
      <c r="C246" s="89"/>
      <c r="D246" s="150"/>
      <c r="E246" s="152"/>
      <c r="F246" s="151"/>
      <c r="G246" s="151"/>
      <c r="H246" s="151"/>
      <c r="I246" s="151"/>
      <c r="J246" s="152"/>
      <c r="K246" s="152"/>
      <c r="L246" s="152"/>
      <c r="M246" s="152"/>
      <c r="N246" s="150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</row>
    <row r="247" customFormat="false" ht="11.25" hidden="false" customHeight="true" outlineLevel="0" collapsed="false">
      <c r="A247" s="89"/>
      <c r="B247" s="89"/>
      <c r="C247" s="89"/>
      <c r="D247" s="150"/>
      <c r="E247" s="152"/>
      <c r="F247" s="151"/>
      <c r="G247" s="151"/>
      <c r="H247" s="151"/>
      <c r="I247" s="151"/>
      <c r="J247" s="152"/>
      <c r="K247" s="152"/>
      <c r="L247" s="152"/>
      <c r="M247" s="152"/>
      <c r="N247" s="150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</row>
    <row r="248" customFormat="false" ht="11.25" hidden="false" customHeight="true" outlineLevel="0" collapsed="false">
      <c r="A248" s="89"/>
      <c r="B248" s="89"/>
      <c r="C248" s="89"/>
      <c r="D248" s="150"/>
      <c r="E248" s="152"/>
      <c r="F248" s="151"/>
      <c r="G248" s="151"/>
      <c r="H248" s="151"/>
      <c r="I248" s="151"/>
      <c r="J248" s="152"/>
      <c r="K248" s="152"/>
      <c r="L248" s="152"/>
      <c r="M248" s="152"/>
      <c r="N248" s="150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</row>
    <row r="249" customFormat="false" ht="11.25" hidden="false" customHeight="true" outlineLevel="0" collapsed="false">
      <c r="A249" s="89"/>
      <c r="B249" s="89"/>
      <c r="C249" s="89"/>
      <c r="D249" s="150"/>
      <c r="E249" s="152"/>
      <c r="F249" s="151"/>
      <c r="G249" s="151"/>
      <c r="H249" s="151"/>
      <c r="I249" s="151"/>
      <c r="J249" s="152"/>
      <c r="K249" s="152"/>
      <c r="L249" s="152"/>
      <c r="M249" s="152"/>
      <c r="N249" s="150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</row>
    <row r="250" customFormat="false" ht="11.25" hidden="false" customHeight="true" outlineLevel="0" collapsed="false">
      <c r="A250" s="89"/>
      <c r="B250" s="89"/>
      <c r="C250" s="89"/>
      <c r="D250" s="150"/>
      <c r="E250" s="152"/>
      <c r="F250" s="151"/>
      <c r="G250" s="151"/>
      <c r="H250" s="151"/>
      <c r="I250" s="151"/>
      <c r="J250" s="152"/>
      <c r="K250" s="152"/>
      <c r="L250" s="152"/>
      <c r="M250" s="152"/>
      <c r="N250" s="150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</row>
    <row r="251" customFormat="false" ht="11.25" hidden="false" customHeight="true" outlineLevel="0" collapsed="false">
      <c r="A251" s="89"/>
      <c r="B251" s="89"/>
      <c r="C251" s="89"/>
      <c r="D251" s="150"/>
      <c r="E251" s="152"/>
      <c r="F251" s="151"/>
      <c r="G251" s="151"/>
      <c r="H251" s="151"/>
      <c r="I251" s="151"/>
      <c r="J251" s="152"/>
      <c r="K251" s="152"/>
      <c r="L251" s="152"/>
      <c r="M251" s="152"/>
      <c r="N251" s="150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</row>
    <row r="252" customFormat="false" ht="11.25" hidden="false" customHeight="true" outlineLevel="0" collapsed="false">
      <c r="A252" s="89"/>
      <c r="B252" s="89"/>
      <c r="C252" s="89"/>
      <c r="D252" s="150"/>
      <c r="E252" s="152"/>
      <c r="F252" s="151"/>
      <c r="G252" s="151"/>
      <c r="H252" s="151"/>
      <c r="I252" s="151"/>
      <c r="J252" s="152"/>
      <c r="K252" s="152"/>
      <c r="L252" s="152"/>
      <c r="M252" s="152"/>
      <c r="N252" s="150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</row>
    <row r="253" customFormat="false" ht="11.25" hidden="false" customHeight="true" outlineLevel="0" collapsed="false">
      <c r="A253" s="89"/>
      <c r="B253" s="89"/>
      <c r="C253" s="89"/>
      <c r="D253" s="150"/>
      <c r="E253" s="152"/>
      <c r="F253" s="151"/>
      <c r="G253" s="151"/>
      <c r="H253" s="151"/>
      <c r="I253" s="151"/>
      <c r="J253" s="152"/>
      <c r="K253" s="152"/>
      <c r="L253" s="152"/>
      <c r="M253" s="152"/>
      <c r="N253" s="150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</row>
    <row r="254" customFormat="false" ht="11.25" hidden="false" customHeight="true" outlineLevel="0" collapsed="false">
      <c r="A254" s="89"/>
      <c r="B254" s="89"/>
      <c r="C254" s="89"/>
      <c r="D254" s="150"/>
      <c r="E254" s="152"/>
      <c r="F254" s="151"/>
      <c r="G254" s="151"/>
      <c r="H254" s="151"/>
      <c r="I254" s="151"/>
      <c r="J254" s="152"/>
      <c r="K254" s="152"/>
      <c r="L254" s="152"/>
      <c r="M254" s="152"/>
      <c r="N254" s="150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</row>
    <row r="255" customFormat="false" ht="11.25" hidden="false" customHeight="true" outlineLevel="0" collapsed="false">
      <c r="A255" s="89"/>
      <c r="B255" s="89"/>
      <c r="C255" s="89"/>
      <c r="D255" s="150"/>
      <c r="E255" s="152"/>
      <c r="F255" s="151"/>
      <c r="G255" s="151"/>
      <c r="H255" s="151"/>
      <c r="I255" s="151"/>
      <c r="J255" s="152"/>
      <c r="K255" s="152"/>
      <c r="L255" s="152"/>
      <c r="M255" s="152"/>
      <c r="N255" s="150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</row>
    <row r="256" customFormat="false" ht="11.25" hidden="false" customHeight="true" outlineLevel="0" collapsed="false">
      <c r="A256" s="89"/>
      <c r="B256" s="89"/>
      <c r="C256" s="89"/>
      <c r="D256" s="150"/>
      <c r="E256" s="152"/>
      <c r="F256" s="151"/>
      <c r="G256" s="151"/>
      <c r="H256" s="151"/>
      <c r="I256" s="151"/>
      <c r="J256" s="152"/>
      <c r="K256" s="152"/>
      <c r="L256" s="152"/>
      <c r="M256" s="152"/>
      <c r="N256" s="150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</row>
    <row r="257" customFormat="false" ht="11.25" hidden="false" customHeight="true" outlineLevel="0" collapsed="false">
      <c r="A257" s="89"/>
      <c r="B257" s="89"/>
      <c r="C257" s="89"/>
      <c r="D257" s="150"/>
      <c r="E257" s="152"/>
      <c r="F257" s="151"/>
      <c r="G257" s="151"/>
      <c r="H257" s="151"/>
      <c r="I257" s="151"/>
      <c r="J257" s="152"/>
      <c r="K257" s="152"/>
      <c r="L257" s="152"/>
      <c r="M257" s="152"/>
      <c r="N257" s="150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</row>
    <row r="258" customFormat="false" ht="11.25" hidden="false" customHeight="true" outlineLevel="0" collapsed="false">
      <c r="A258" s="89"/>
      <c r="B258" s="89"/>
      <c r="C258" s="89"/>
      <c r="D258" s="150"/>
      <c r="E258" s="152"/>
      <c r="F258" s="151"/>
      <c r="G258" s="151"/>
      <c r="H258" s="151"/>
      <c r="I258" s="151"/>
      <c r="J258" s="152"/>
      <c r="K258" s="152"/>
      <c r="L258" s="152"/>
      <c r="M258" s="152"/>
      <c r="N258" s="150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</row>
    <row r="259" customFormat="false" ht="11.25" hidden="false" customHeight="true" outlineLevel="0" collapsed="false">
      <c r="A259" s="89"/>
      <c r="B259" s="89"/>
      <c r="C259" s="89"/>
      <c r="D259" s="150"/>
      <c r="E259" s="152"/>
      <c r="F259" s="151"/>
      <c r="G259" s="151"/>
      <c r="H259" s="151"/>
      <c r="I259" s="151"/>
      <c r="J259" s="152"/>
      <c r="K259" s="152"/>
      <c r="L259" s="152"/>
      <c r="M259" s="152"/>
      <c r="N259" s="150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</row>
    <row r="260" customFormat="false" ht="11.25" hidden="false" customHeight="true" outlineLevel="0" collapsed="false">
      <c r="A260" s="89"/>
      <c r="B260" s="89"/>
      <c r="C260" s="89"/>
      <c r="D260" s="150"/>
      <c r="E260" s="152"/>
      <c r="F260" s="151"/>
      <c r="G260" s="151"/>
      <c r="H260" s="151"/>
      <c r="I260" s="151"/>
      <c r="J260" s="152"/>
      <c r="K260" s="152"/>
      <c r="L260" s="152"/>
      <c r="M260" s="152"/>
      <c r="N260" s="150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</row>
    <row r="261" customFormat="false" ht="11.25" hidden="false" customHeight="true" outlineLevel="0" collapsed="false">
      <c r="A261" s="89"/>
      <c r="B261" s="89"/>
      <c r="C261" s="89"/>
      <c r="D261" s="150"/>
      <c r="E261" s="152"/>
      <c r="F261" s="151"/>
      <c r="G261" s="151"/>
      <c r="H261" s="151"/>
      <c r="I261" s="151"/>
      <c r="J261" s="152"/>
      <c r="K261" s="152"/>
      <c r="L261" s="152"/>
      <c r="M261" s="152"/>
      <c r="N261" s="150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</row>
    <row r="262" customFormat="false" ht="11.25" hidden="false" customHeight="true" outlineLevel="0" collapsed="false">
      <c r="A262" s="89"/>
      <c r="B262" s="89"/>
      <c r="C262" s="89"/>
      <c r="D262" s="150"/>
      <c r="E262" s="152"/>
      <c r="F262" s="151"/>
      <c r="G262" s="151"/>
      <c r="H262" s="151"/>
      <c r="I262" s="151"/>
      <c r="J262" s="152"/>
      <c r="K262" s="152"/>
      <c r="L262" s="152"/>
      <c r="M262" s="152"/>
      <c r="N262" s="150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</row>
    <row r="263" customFormat="false" ht="11.25" hidden="false" customHeight="true" outlineLevel="0" collapsed="false">
      <c r="A263" s="89"/>
      <c r="B263" s="89"/>
      <c r="C263" s="89"/>
      <c r="D263" s="150"/>
      <c r="E263" s="152"/>
      <c r="F263" s="151"/>
      <c r="G263" s="151"/>
      <c r="H263" s="151"/>
      <c r="I263" s="151"/>
      <c r="J263" s="152"/>
      <c r="K263" s="152"/>
      <c r="L263" s="152"/>
      <c r="M263" s="152"/>
      <c r="N263" s="150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</row>
    <row r="264" customFormat="false" ht="11.25" hidden="false" customHeight="true" outlineLevel="0" collapsed="false">
      <c r="A264" s="89"/>
      <c r="B264" s="89"/>
      <c r="C264" s="89"/>
      <c r="D264" s="150"/>
      <c r="E264" s="152"/>
      <c r="F264" s="151"/>
      <c r="G264" s="151"/>
      <c r="H264" s="151"/>
      <c r="I264" s="151"/>
      <c r="J264" s="152"/>
      <c r="K264" s="152"/>
      <c r="L264" s="152"/>
      <c r="M264" s="152"/>
      <c r="N264" s="150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</row>
    <row r="265" customFormat="false" ht="11.25" hidden="false" customHeight="true" outlineLevel="0" collapsed="false">
      <c r="A265" s="89"/>
      <c r="B265" s="89"/>
      <c r="C265" s="89"/>
      <c r="D265" s="150"/>
      <c r="E265" s="152"/>
      <c r="F265" s="151"/>
      <c r="G265" s="151"/>
      <c r="H265" s="151"/>
      <c r="I265" s="151"/>
      <c r="J265" s="152"/>
      <c r="K265" s="152"/>
      <c r="L265" s="152"/>
      <c r="M265" s="152"/>
      <c r="N265" s="150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</row>
    <row r="266" customFormat="false" ht="11.25" hidden="false" customHeight="true" outlineLevel="0" collapsed="false">
      <c r="A266" s="89"/>
      <c r="B266" s="89"/>
      <c r="C266" s="89"/>
      <c r="D266" s="150"/>
      <c r="E266" s="152"/>
      <c r="F266" s="151"/>
      <c r="G266" s="151"/>
      <c r="H266" s="151"/>
      <c r="I266" s="151"/>
      <c r="J266" s="152"/>
      <c r="K266" s="152"/>
      <c r="L266" s="152"/>
      <c r="M266" s="152"/>
      <c r="N266" s="150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</row>
    <row r="267" customFormat="false" ht="11.25" hidden="false" customHeight="true" outlineLevel="0" collapsed="false">
      <c r="A267" s="89"/>
      <c r="B267" s="89"/>
      <c r="C267" s="89"/>
      <c r="D267" s="150"/>
      <c r="E267" s="152"/>
      <c r="F267" s="151"/>
      <c r="G267" s="151"/>
      <c r="H267" s="151"/>
      <c r="I267" s="151"/>
      <c r="J267" s="152"/>
      <c r="K267" s="152"/>
      <c r="L267" s="152"/>
      <c r="M267" s="152"/>
      <c r="N267" s="150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</row>
    <row r="268" customFormat="false" ht="11.25" hidden="false" customHeight="true" outlineLevel="0" collapsed="false">
      <c r="A268" s="89"/>
      <c r="B268" s="89"/>
      <c r="C268" s="89"/>
      <c r="D268" s="150"/>
      <c r="E268" s="152"/>
      <c r="F268" s="151"/>
      <c r="G268" s="151"/>
      <c r="H268" s="151"/>
      <c r="I268" s="151"/>
      <c r="J268" s="152"/>
      <c r="K268" s="152"/>
      <c r="L268" s="152"/>
      <c r="M268" s="152"/>
      <c r="N268" s="150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</row>
    <row r="269" customFormat="false" ht="11.25" hidden="false" customHeight="true" outlineLevel="0" collapsed="false">
      <c r="A269" s="89"/>
      <c r="B269" s="89"/>
      <c r="C269" s="89"/>
      <c r="D269" s="150"/>
      <c r="E269" s="152"/>
      <c r="F269" s="151"/>
      <c r="G269" s="151"/>
      <c r="H269" s="151"/>
      <c r="I269" s="151"/>
      <c r="J269" s="152"/>
      <c r="K269" s="152"/>
      <c r="L269" s="152"/>
      <c r="M269" s="152"/>
      <c r="N269" s="150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</row>
    <row r="270" customFormat="false" ht="11.25" hidden="false" customHeight="true" outlineLevel="0" collapsed="false">
      <c r="A270" s="89"/>
      <c r="B270" s="89"/>
      <c r="C270" s="89"/>
      <c r="D270" s="150"/>
      <c r="E270" s="152"/>
      <c r="F270" s="151"/>
      <c r="G270" s="151"/>
      <c r="H270" s="151"/>
      <c r="I270" s="151"/>
      <c r="J270" s="152"/>
      <c r="K270" s="152"/>
      <c r="L270" s="152"/>
      <c r="M270" s="152"/>
      <c r="N270" s="150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</row>
    <row r="271" customFormat="false" ht="11.25" hidden="false" customHeight="true" outlineLevel="0" collapsed="false">
      <c r="A271" s="89"/>
      <c r="B271" s="89"/>
      <c r="C271" s="89"/>
      <c r="D271" s="150"/>
      <c r="E271" s="152"/>
      <c r="F271" s="151"/>
      <c r="G271" s="151"/>
      <c r="H271" s="151"/>
      <c r="I271" s="151"/>
      <c r="J271" s="152"/>
      <c r="K271" s="152"/>
      <c r="L271" s="152"/>
      <c r="M271" s="152"/>
      <c r="N271" s="150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</row>
    <row r="272" customFormat="false" ht="11.25" hidden="false" customHeight="true" outlineLevel="0" collapsed="false">
      <c r="A272" s="89"/>
      <c r="B272" s="89"/>
      <c r="C272" s="89"/>
      <c r="D272" s="150"/>
      <c r="E272" s="152"/>
      <c r="F272" s="151"/>
      <c r="G272" s="151"/>
      <c r="H272" s="151"/>
      <c r="I272" s="151"/>
      <c r="J272" s="152"/>
      <c r="K272" s="152"/>
      <c r="L272" s="152"/>
      <c r="M272" s="152"/>
      <c r="N272" s="150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</row>
    <row r="273" customFormat="false" ht="11.25" hidden="false" customHeight="true" outlineLevel="0" collapsed="false">
      <c r="A273" s="89"/>
      <c r="B273" s="89"/>
      <c r="C273" s="89"/>
      <c r="D273" s="150"/>
      <c r="E273" s="152"/>
      <c r="F273" s="151"/>
      <c r="G273" s="151"/>
      <c r="H273" s="151"/>
      <c r="I273" s="151"/>
      <c r="J273" s="152"/>
      <c r="K273" s="152"/>
      <c r="L273" s="152"/>
      <c r="M273" s="152"/>
      <c r="N273" s="150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</row>
    <row r="274" customFormat="false" ht="11.25" hidden="false" customHeight="true" outlineLevel="0" collapsed="false">
      <c r="A274" s="89"/>
      <c r="B274" s="89"/>
      <c r="C274" s="89"/>
      <c r="D274" s="150"/>
      <c r="E274" s="152"/>
      <c r="F274" s="151"/>
      <c r="G274" s="151"/>
      <c r="H274" s="151"/>
      <c r="I274" s="151"/>
      <c r="J274" s="152"/>
      <c r="K274" s="152"/>
      <c r="L274" s="152"/>
      <c r="M274" s="152"/>
      <c r="N274" s="150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</row>
    <row r="275" customFormat="false" ht="11.25" hidden="false" customHeight="true" outlineLevel="0" collapsed="false">
      <c r="A275" s="89"/>
      <c r="B275" s="89"/>
      <c r="C275" s="89"/>
      <c r="D275" s="150"/>
      <c r="E275" s="152"/>
      <c r="F275" s="151"/>
      <c r="G275" s="151"/>
      <c r="H275" s="151"/>
      <c r="I275" s="151"/>
      <c r="J275" s="152"/>
      <c r="K275" s="152"/>
      <c r="L275" s="152"/>
      <c r="M275" s="152"/>
      <c r="N275" s="150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</row>
    <row r="276" customFormat="false" ht="11.25" hidden="false" customHeight="true" outlineLevel="0" collapsed="false">
      <c r="A276" s="89"/>
      <c r="B276" s="89"/>
      <c r="C276" s="89"/>
      <c r="D276" s="150"/>
      <c r="E276" s="152"/>
      <c r="F276" s="151"/>
      <c r="G276" s="151"/>
      <c r="H276" s="151"/>
      <c r="I276" s="151"/>
      <c r="J276" s="152"/>
      <c r="K276" s="152"/>
      <c r="L276" s="152"/>
      <c r="M276" s="152"/>
      <c r="N276" s="150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</row>
    <row r="277" customFormat="false" ht="11.25" hidden="false" customHeight="true" outlineLevel="0" collapsed="false">
      <c r="A277" s="89"/>
      <c r="B277" s="89"/>
      <c r="C277" s="89"/>
      <c r="D277" s="150"/>
      <c r="E277" s="152"/>
      <c r="F277" s="151"/>
      <c r="G277" s="151"/>
      <c r="H277" s="151"/>
      <c r="I277" s="151"/>
      <c r="J277" s="152"/>
      <c r="K277" s="152"/>
      <c r="L277" s="152"/>
      <c r="M277" s="152"/>
      <c r="N277" s="150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</row>
    <row r="278" customFormat="false" ht="11.25" hidden="false" customHeight="true" outlineLevel="0" collapsed="false">
      <c r="A278" s="89"/>
      <c r="B278" s="89"/>
      <c r="C278" s="89"/>
      <c r="D278" s="150"/>
      <c r="E278" s="152"/>
      <c r="F278" s="151"/>
      <c r="G278" s="151"/>
      <c r="H278" s="151"/>
      <c r="I278" s="151"/>
      <c r="J278" s="152"/>
      <c r="K278" s="152"/>
      <c r="L278" s="152"/>
      <c r="M278" s="152"/>
      <c r="N278" s="150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</row>
    <row r="279" customFormat="false" ht="11.25" hidden="false" customHeight="true" outlineLevel="0" collapsed="false">
      <c r="A279" s="89"/>
      <c r="B279" s="89"/>
      <c r="C279" s="89"/>
      <c r="D279" s="150"/>
      <c r="E279" s="152"/>
      <c r="F279" s="151"/>
      <c r="G279" s="151"/>
      <c r="H279" s="151"/>
      <c r="I279" s="151"/>
      <c r="J279" s="152"/>
      <c r="K279" s="152"/>
      <c r="L279" s="152"/>
      <c r="M279" s="152"/>
      <c r="N279" s="150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</row>
    <row r="280" customFormat="false" ht="11.25" hidden="false" customHeight="true" outlineLevel="0" collapsed="false">
      <c r="A280" s="89"/>
      <c r="B280" s="89"/>
      <c r="C280" s="89"/>
      <c r="D280" s="150"/>
      <c r="E280" s="152"/>
      <c r="F280" s="151"/>
      <c r="G280" s="151"/>
      <c r="H280" s="151"/>
      <c r="I280" s="151"/>
      <c r="J280" s="152"/>
      <c r="K280" s="152"/>
      <c r="L280" s="152"/>
      <c r="M280" s="152"/>
      <c r="N280" s="150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</row>
    <row r="281" customFormat="false" ht="11.25" hidden="false" customHeight="true" outlineLevel="0" collapsed="false">
      <c r="A281" s="89"/>
      <c r="B281" s="89"/>
      <c r="C281" s="89"/>
      <c r="D281" s="150"/>
      <c r="E281" s="152"/>
      <c r="F281" s="151"/>
      <c r="G281" s="151"/>
      <c r="H281" s="151"/>
      <c r="I281" s="151"/>
      <c r="J281" s="152"/>
      <c r="K281" s="152"/>
      <c r="L281" s="152"/>
      <c r="M281" s="152"/>
      <c r="N281" s="150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</row>
    <row r="282" customFormat="false" ht="11.25" hidden="false" customHeight="true" outlineLevel="0" collapsed="false">
      <c r="A282" s="89"/>
      <c r="B282" s="89"/>
      <c r="C282" s="89"/>
      <c r="D282" s="150"/>
      <c r="E282" s="152"/>
      <c r="F282" s="151"/>
      <c r="G282" s="151"/>
      <c r="H282" s="151"/>
      <c r="I282" s="151"/>
      <c r="J282" s="152"/>
      <c r="K282" s="152"/>
      <c r="L282" s="152"/>
      <c r="M282" s="152"/>
      <c r="N282" s="150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</row>
    <row r="283" customFormat="false" ht="11.25" hidden="false" customHeight="true" outlineLevel="0" collapsed="false">
      <c r="A283" s="89"/>
      <c r="B283" s="89"/>
      <c r="C283" s="89"/>
      <c r="D283" s="150"/>
      <c r="E283" s="152"/>
      <c r="F283" s="151"/>
      <c r="G283" s="151"/>
      <c r="H283" s="151"/>
      <c r="I283" s="151"/>
      <c r="J283" s="152"/>
      <c r="K283" s="152"/>
      <c r="L283" s="152"/>
      <c r="M283" s="152"/>
      <c r="N283" s="150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</row>
    <row r="284" customFormat="false" ht="11.25" hidden="false" customHeight="true" outlineLevel="0" collapsed="false">
      <c r="A284" s="89"/>
      <c r="B284" s="89"/>
      <c r="C284" s="89"/>
      <c r="D284" s="150"/>
      <c r="E284" s="152"/>
      <c r="F284" s="151"/>
      <c r="G284" s="151"/>
      <c r="H284" s="151"/>
      <c r="I284" s="151"/>
      <c r="J284" s="152"/>
      <c r="K284" s="152"/>
      <c r="L284" s="152"/>
      <c r="M284" s="152"/>
      <c r="N284" s="150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</row>
    <row r="285" customFormat="false" ht="11.25" hidden="false" customHeight="true" outlineLevel="0" collapsed="false">
      <c r="A285" s="89"/>
      <c r="B285" s="89"/>
      <c r="C285" s="89"/>
      <c r="D285" s="150"/>
      <c r="E285" s="152"/>
      <c r="F285" s="151"/>
      <c r="G285" s="151"/>
      <c r="H285" s="151"/>
      <c r="I285" s="151"/>
      <c r="J285" s="152"/>
      <c r="K285" s="152"/>
      <c r="L285" s="152"/>
      <c r="M285" s="152"/>
      <c r="N285" s="150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</row>
    <row r="286" customFormat="false" ht="11.25" hidden="false" customHeight="true" outlineLevel="0" collapsed="false">
      <c r="A286" s="89"/>
      <c r="B286" s="89"/>
      <c r="C286" s="89"/>
      <c r="D286" s="150"/>
      <c r="E286" s="152"/>
      <c r="F286" s="151"/>
      <c r="G286" s="151"/>
      <c r="H286" s="151"/>
      <c r="I286" s="151"/>
      <c r="J286" s="152"/>
      <c r="K286" s="152"/>
      <c r="L286" s="152"/>
      <c r="M286" s="152"/>
      <c r="N286" s="150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</row>
    <row r="287" customFormat="false" ht="11.25" hidden="false" customHeight="true" outlineLevel="0" collapsed="false">
      <c r="A287" s="89"/>
      <c r="B287" s="89"/>
      <c r="C287" s="89"/>
      <c r="D287" s="150"/>
      <c r="E287" s="152"/>
      <c r="F287" s="151"/>
      <c r="G287" s="151"/>
      <c r="H287" s="151"/>
      <c r="I287" s="151"/>
      <c r="J287" s="152"/>
      <c r="K287" s="152"/>
      <c r="L287" s="152"/>
      <c r="M287" s="152"/>
      <c r="N287" s="150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</row>
    <row r="288" customFormat="false" ht="11.25" hidden="false" customHeight="true" outlineLevel="0" collapsed="false">
      <c r="A288" s="89"/>
      <c r="B288" s="89"/>
      <c r="C288" s="89"/>
      <c r="D288" s="150"/>
      <c r="E288" s="152"/>
      <c r="F288" s="151"/>
      <c r="G288" s="151"/>
      <c r="H288" s="151"/>
      <c r="I288" s="151"/>
      <c r="J288" s="152"/>
      <c r="K288" s="152"/>
      <c r="L288" s="152"/>
      <c r="M288" s="152"/>
      <c r="N288" s="150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</row>
    <row r="289" customFormat="false" ht="11.25" hidden="false" customHeight="true" outlineLevel="0" collapsed="false">
      <c r="A289" s="89"/>
      <c r="B289" s="89"/>
      <c r="C289" s="89"/>
      <c r="D289" s="150"/>
      <c r="E289" s="152"/>
      <c r="F289" s="151"/>
      <c r="G289" s="151"/>
      <c r="H289" s="151"/>
      <c r="I289" s="151"/>
      <c r="J289" s="152"/>
      <c r="K289" s="152"/>
      <c r="L289" s="152"/>
      <c r="M289" s="152"/>
      <c r="N289" s="150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</row>
    <row r="290" customFormat="false" ht="11.25" hidden="false" customHeight="true" outlineLevel="0" collapsed="false">
      <c r="A290" s="89"/>
      <c r="B290" s="89"/>
      <c r="C290" s="89"/>
      <c r="D290" s="150"/>
      <c r="E290" s="152"/>
      <c r="F290" s="151"/>
      <c r="G290" s="151"/>
      <c r="H290" s="151"/>
      <c r="I290" s="151"/>
      <c r="J290" s="152"/>
      <c r="K290" s="152"/>
      <c r="L290" s="152"/>
      <c r="M290" s="152"/>
      <c r="N290" s="150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</row>
    <row r="291" customFormat="false" ht="11.25" hidden="false" customHeight="true" outlineLevel="0" collapsed="false">
      <c r="A291" s="89"/>
      <c r="B291" s="89"/>
      <c r="C291" s="89"/>
      <c r="D291" s="150"/>
      <c r="E291" s="152"/>
      <c r="F291" s="151"/>
      <c r="G291" s="151"/>
      <c r="H291" s="151"/>
      <c r="I291" s="151"/>
      <c r="J291" s="152"/>
      <c r="K291" s="152"/>
      <c r="L291" s="152"/>
      <c r="M291" s="152"/>
      <c r="N291" s="150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</row>
    <row r="292" customFormat="false" ht="11.25" hidden="false" customHeight="true" outlineLevel="0" collapsed="false">
      <c r="A292" s="89"/>
      <c r="B292" s="89"/>
      <c r="C292" s="89"/>
      <c r="D292" s="150"/>
      <c r="E292" s="152"/>
      <c r="F292" s="151"/>
      <c r="G292" s="151"/>
      <c r="H292" s="151"/>
      <c r="I292" s="151"/>
      <c r="J292" s="152"/>
      <c r="K292" s="152"/>
      <c r="L292" s="152"/>
      <c r="M292" s="152"/>
      <c r="N292" s="150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</row>
    <row r="293" customFormat="false" ht="11.25" hidden="false" customHeight="true" outlineLevel="0" collapsed="false">
      <c r="A293" s="89"/>
      <c r="B293" s="89"/>
      <c r="C293" s="89"/>
      <c r="D293" s="150"/>
      <c r="E293" s="152"/>
      <c r="F293" s="151"/>
      <c r="G293" s="151"/>
      <c r="H293" s="151"/>
      <c r="I293" s="151"/>
      <c r="J293" s="152"/>
      <c r="K293" s="152"/>
      <c r="L293" s="152"/>
      <c r="M293" s="152"/>
      <c r="N293" s="150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</row>
    <row r="294" customFormat="false" ht="11.25" hidden="false" customHeight="true" outlineLevel="0" collapsed="false">
      <c r="A294" s="89"/>
      <c r="B294" s="89"/>
      <c r="C294" s="89"/>
      <c r="D294" s="150"/>
      <c r="E294" s="152"/>
      <c r="F294" s="151"/>
      <c r="G294" s="151"/>
      <c r="H294" s="151"/>
      <c r="I294" s="151"/>
      <c r="J294" s="152"/>
      <c r="K294" s="152"/>
      <c r="L294" s="152"/>
      <c r="M294" s="152"/>
      <c r="N294" s="150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</row>
    <row r="295" customFormat="false" ht="11.25" hidden="false" customHeight="true" outlineLevel="0" collapsed="false">
      <c r="A295" s="89"/>
      <c r="B295" s="89"/>
      <c r="C295" s="89"/>
      <c r="D295" s="150"/>
      <c r="E295" s="152"/>
      <c r="F295" s="151"/>
      <c r="G295" s="151"/>
      <c r="H295" s="151"/>
      <c r="I295" s="151"/>
      <c r="J295" s="152"/>
      <c r="K295" s="152"/>
      <c r="L295" s="152"/>
      <c r="M295" s="152"/>
      <c r="N295" s="150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</row>
    <row r="296" customFormat="false" ht="11.25" hidden="false" customHeight="true" outlineLevel="0" collapsed="false">
      <c r="A296" s="89"/>
      <c r="B296" s="89"/>
      <c r="C296" s="89"/>
      <c r="D296" s="150"/>
      <c r="E296" s="152"/>
      <c r="F296" s="151"/>
      <c r="G296" s="151"/>
      <c r="H296" s="151"/>
      <c r="I296" s="151"/>
      <c r="J296" s="152"/>
      <c r="K296" s="152"/>
      <c r="L296" s="152"/>
      <c r="M296" s="152"/>
      <c r="N296" s="150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</row>
    <row r="297" customFormat="false" ht="11.25" hidden="false" customHeight="true" outlineLevel="0" collapsed="false">
      <c r="A297" s="89"/>
      <c r="B297" s="89"/>
      <c r="C297" s="89"/>
      <c r="D297" s="150"/>
      <c r="E297" s="152"/>
      <c r="F297" s="151"/>
      <c r="G297" s="151"/>
      <c r="H297" s="151"/>
      <c r="I297" s="151"/>
      <c r="J297" s="152"/>
      <c r="K297" s="152"/>
      <c r="L297" s="152"/>
      <c r="M297" s="152"/>
      <c r="N297" s="150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</row>
    <row r="298" customFormat="false" ht="11.25" hidden="false" customHeight="true" outlineLevel="0" collapsed="false">
      <c r="A298" s="89"/>
      <c r="B298" s="89"/>
      <c r="C298" s="89"/>
      <c r="D298" s="150"/>
      <c r="E298" s="152"/>
      <c r="F298" s="151"/>
      <c r="G298" s="151"/>
      <c r="H298" s="151"/>
      <c r="I298" s="151"/>
      <c r="J298" s="152"/>
      <c r="K298" s="152"/>
      <c r="L298" s="152"/>
      <c r="M298" s="152"/>
      <c r="N298" s="150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</row>
    <row r="299" customFormat="false" ht="11.25" hidden="false" customHeight="true" outlineLevel="0" collapsed="false">
      <c r="A299" s="89"/>
      <c r="B299" s="89"/>
      <c r="C299" s="89"/>
      <c r="D299" s="150"/>
      <c r="E299" s="152"/>
      <c r="F299" s="151"/>
      <c r="G299" s="151"/>
      <c r="H299" s="151"/>
      <c r="I299" s="151"/>
      <c r="J299" s="152"/>
      <c r="K299" s="152"/>
      <c r="L299" s="152"/>
      <c r="M299" s="152"/>
      <c r="N299" s="150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</row>
    <row r="300" customFormat="false" ht="11.25" hidden="false" customHeight="true" outlineLevel="0" collapsed="false">
      <c r="A300" s="89"/>
      <c r="B300" s="89"/>
      <c r="C300" s="89"/>
      <c r="D300" s="150"/>
      <c r="E300" s="152"/>
      <c r="F300" s="151"/>
      <c r="G300" s="151"/>
      <c r="H300" s="151"/>
      <c r="I300" s="151"/>
      <c r="J300" s="152"/>
      <c r="K300" s="152"/>
      <c r="L300" s="152"/>
      <c r="M300" s="152"/>
      <c r="N300" s="150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</row>
    <row r="301" customFormat="false" ht="11.25" hidden="false" customHeight="true" outlineLevel="0" collapsed="false">
      <c r="A301" s="89"/>
      <c r="B301" s="89"/>
      <c r="C301" s="89"/>
      <c r="D301" s="150"/>
      <c r="E301" s="152"/>
      <c r="F301" s="151"/>
      <c r="G301" s="151"/>
      <c r="H301" s="151"/>
      <c r="I301" s="151"/>
      <c r="J301" s="152"/>
      <c r="K301" s="152"/>
      <c r="L301" s="152"/>
      <c r="M301" s="152"/>
      <c r="N301" s="150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</row>
    <row r="302" customFormat="false" ht="11.25" hidden="false" customHeight="true" outlineLevel="0" collapsed="false">
      <c r="A302" s="89"/>
      <c r="B302" s="89"/>
      <c r="C302" s="89"/>
      <c r="D302" s="150"/>
      <c r="E302" s="152"/>
      <c r="F302" s="151"/>
      <c r="G302" s="151"/>
      <c r="H302" s="151"/>
      <c r="I302" s="151"/>
      <c r="J302" s="152"/>
      <c r="K302" s="152"/>
      <c r="L302" s="152"/>
      <c r="M302" s="152"/>
      <c r="N302" s="150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</row>
    <row r="303" customFormat="false" ht="11.25" hidden="false" customHeight="true" outlineLevel="0" collapsed="false">
      <c r="A303" s="89"/>
      <c r="B303" s="89"/>
      <c r="C303" s="89"/>
      <c r="D303" s="150"/>
      <c r="E303" s="152"/>
      <c r="F303" s="151"/>
      <c r="G303" s="151"/>
      <c r="H303" s="151"/>
      <c r="I303" s="151"/>
      <c r="J303" s="152"/>
      <c r="K303" s="152"/>
      <c r="L303" s="152"/>
      <c r="M303" s="152"/>
      <c r="N303" s="150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</row>
    <row r="304" customFormat="false" ht="11.25" hidden="false" customHeight="true" outlineLevel="0" collapsed="false">
      <c r="A304" s="89"/>
      <c r="B304" s="89"/>
      <c r="C304" s="89"/>
      <c r="D304" s="150"/>
      <c r="E304" s="152"/>
      <c r="F304" s="151"/>
      <c r="G304" s="151"/>
      <c r="H304" s="151"/>
      <c r="I304" s="151"/>
      <c r="J304" s="152"/>
      <c r="K304" s="152"/>
      <c r="L304" s="152"/>
      <c r="M304" s="152"/>
      <c r="N304" s="150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</row>
    <row r="305" customFormat="false" ht="11.25" hidden="false" customHeight="true" outlineLevel="0" collapsed="false">
      <c r="A305" s="89"/>
      <c r="B305" s="89"/>
      <c r="C305" s="89"/>
      <c r="D305" s="150"/>
      <c r="E305" s="152"/>
      <c r="F305" s="151"/>
      <c r="G305" s="151"/>
      <c r="H305" s="151"/>
      <c r="I305" s="151"/>
      <c r="J305" s="152"/>
      <c r="K305" s="152"/>
      <c r="L305" s="152"/>
      <c r="M305" s="152"/>
      <c r="N305" s="150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</row>
    <row r="306" customFormat="false" ht="11.25" hidden="false" customHeight="true" outlineLevel="0" collapsed="false">
      <c r="A306" s="89"/>
      <c r="B306" s="89"/>
      <c r="C306" s="89"/>
      <c r="D306" s="150"/>
      <c r="E306" s="152"/>
      <c r="F306" s="151"/>
      <c r="G306" s="151"/>
      <c r="H306" s="151"/>
      <c r="I306" s="151"/>
      <c r="J306" s="152"/>
      <c r="K306" s="152"/>
      <c r="L306" s="152"/>
      <c r="M306" s="152"/>
      <c r="N306" s="150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</row>
    <row r="307" customFormat="false" ht="11.25" hidden="false" customHeight="true" outlineLevel="0" collapsed="false">
      <c r="A307" s="89"/>
      <c r="B307" s="89"/>
      <c r="C307" s="89"/>
      <c r="D307" s="150"/>
      <c r="E307" s="152"/>
      <c r="F307" s="151"/>
      <c r="G307" s="151"/>
      <c r="H307" s="151"/>
      <c r="I307" s="151"/>
      <c r="J307" s="152"/>
      <c r="K307" s="152"/>
      <c r="L307" s="152"/>
      <c r="M307" s="152"/>
      <c r="N307" s="150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</row>
    <row r="308" customFormat="false" ht="11.25" hidden="false" customHeight="true" outlineLevel="0" collapsed="false">
      <c r="A308" s="89"/>
      <c r="B308" s="89"/>
      <c r="C308" s="89"/>
      <c r="D308" s="150"/>
      <c r="E308" s="152"/>
      <c r="F308" s="151"/>
      <c r="G308" s="151"/>
      <c r="H308" s="151"/>
      <c r="I308" s="151"/>
      <c r="J308" s="152"/>
      <c r="K308" s="152"/>
      <c r="L308" s="152"/>
      <c r="M308" s="152"/>
      <c r="N308" s="150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</row>
    <row r="309" customFormat="false" ht="11.25" hidden="false" customHeight="true" outlineLevel="0" collapsed="false">
      <c r="A309" s="89"/>
      <c r="B309" s="89"/>
      <c r="C309" s="89"/>
      <c r="D309" s="150"/>
      <c r="E309" s="152"/>
      <c r="F309" s="151"/>
      <c r="G309" s="151"/>
      <c r="H309" s="151"/>
      <c r="I309" s="151"/>
      <c r="J309" s="152"/>
      <c r="K309" s="152"/>
      <c r="L309" s="152"/>
      <c r="M309" s="152"/>
      <c r="N309" s="150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</row>
    <row r="310" customFormat="false" ht="11.25" hidden="false" customHeight="true" outlineLevel="0" collapsed="false">
      <c r="A310" s="89"/>
      <c r="B310" s="89"/>
      <c r="C310" s="89"/>
      <c r="D310" s="150"/>
      <c r="E310" s="152"/>
      <c r="F310" s="151"/>
      <c r="G310" s="151"/>
      <c r="H310" s="151"/>
      <c r="I310" s="151"/>
      <c r="J310" s="152"/>
      <c r="K310" s="152"/>
      <c r="L310" s="152"/>
      <c r="M310" s="152"/>
      <c r="N310" s="150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</row>
    <row r="311" customFormat="false" ht="11.25" hidden="false" customHeight="true" outlineLevel="0" collapsed="false">
      <c r="A311" s="89"/>
      <c r="B311" s="89"/>
      <c r="C311" s="89"/>
      <c r="D311" s="150"/>
      <c r="E311" s="152"/>
      <c r="F311" s="151"/>
      <c r="G311" s="151"/>
      <c r="H311" s="151"/>
      <c r="I311" s="151"/>
      <c r="J311" s="152"/>
      <c r="K311" s="152"/>
      <c r="L311" s="152"/>
      <c r="M311" s="152"/>
      <c r="N311" s="150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</row>
    <row r="312" customFormat="false" ht="11.25" hidden="false" customHeight="true" outlineLevel="0" collapsed="false">
      <c r="A312" s="89"/>
      <c r="B312" s="89"/>
      <c r="C312" s="89"/>
      <c r="D312" s="150"/>
      <c r="E312" s="152"/>
      <c r="F312" s="151"/>
      <c r="G312" s="151"/>
      <c r="H312" s="151"/>
      <c r="I312" s="151"/>
      <c r="J312" s="152"/>
      <c r="K312" s="152"/>
      <c r="L312" s="152"/>
      <c r="M312" s="152"/>
      <c r="N312" s="150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</row>
    <row r="313" customFormat="false" ht="11.25" hidden="false" customHeight="true" outlineLevel="0" collapsed="false">
      <c r="A313" s="89"/>
      <c r="B313" s="89"/>
      <c r="C313" s="89"/>
      <c r="D313" s="150"/>
      <c r="E313" s="152"/>
      <c r="F313" s="151"/>
      <c r="G313" s="151"/>
      <c r="H313" s="151"/>
      <c r="I313" s="151"/>
      <c r="J313" s="152"/>
      <c r="K313" s="152"/>
      <c r="L313" s="152"/>
      <c r="M313" s="152"/>
      <c r="N313" s="150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</row>
    <row r="314" customFormat="false" ht="11.25" hidden="false" customHeight="true" outlineLevel="0" collapsed="false">
      <c r="A314" s="89"/>
      <c r="B314" s="89"/>
      <c r="C314" s="89"/>
      <c r="D314" s="150"/>
      <c r="E314" s="152"/>
      <c r="F314" s="151"/>
      <c r="G314" s="151"/>
      <c r="H314" s="151"/>
      <c r="I314" s="151"/>
      <c r="J314" s="152"/>
      <c r="K314" s="152"/>
      <c r="L314" s="152"/>
      <c r="M314" s="152"/>
      <c r="N314" s="150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</row>
    <row r="315" customFormat="false" ht="11.25" hidden="false" customHeight="true" outlineLevel="0" collapsed="false">
      <c r="A315" s="89"/>
      <c r="B315" s="89"/>
      <c r="C315" s="89"/>
      <c r="D315" s="150"/>
      <c r="E315" s="152"/>
      <c r="F315" s="151"/>
      <c r="G315" s="151"/>
      <c r="H315" s="151"/>
      <c r="I315" s="151"/>
      <c r="J315" s="152"/>
      <c r="K315" s="152"/>
      <c r="L315" s="152"/>
      <c r="M315" s="152"/>
      <c r="N315" s="150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</row>
    <row r="316" customFormat="false" ht="11.25" hidden="false" customHeight="true" outlineLevel="0" collapsed="false">
      <c r="A316" s="89"/>
      <c r="B316" s="89"/>
      <c r="C316" s="89"/>
      <c r="D316" s="150"/>
      <c r="E316" s="152"/>
      <c r="F316" s="151"/>
      <c r="G316" s="151"/>
      <c r="H316" s="151"/>
      <c r="I316" s="151"/>
      <c r="J316" s="152"/>
      <c r="K316" s="152"/>
      <c r="L316" s="152"/>
      <c r="M316" s="152"/>
      <c r="N316" s="150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</row>
    <row r="317" customFormat="false" ht="11.25" hidden="false" customHeight="true" outlineLevel="0" collapsed="false">
      <c r="A317" s="89"/>
      <c r="B317" s="89"/>
      <c r="C317" s="89"/>
      <c r="D317" s="150"/>
      <c r="E317" s="152"/>
      <c r="F317" s="151"/>
      <c r="G317" s="151"/>
      <c r="H317" s="151"/>
      <c r="I317" s="151"/>
      <c r="J317" s="152"/>
      <c r="K317" s="152"/>
      <c r="L317" s="152"/>
      <c r="M317" s="152"/>
      <c r="N317" s="150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</row>
    <row r="318" customFormat="false" ht="11.25" hidden="false" customHeight="true" outlineLevel="0" collapsed="false">
      <c r="A318" s="89"/>
      <c r="B318" s="89"/>
      <c r="C318" s="89"/>
      <c r="D318" s="150"/>
      <c r="E318" s="152"/>
      <c r="F318" s="151"/>
      <c r="G318" s="151"/>
      <c r="H318" s="151"/>
      <c r="I318" s="151"/>
      <c r="J318" s="152"/>
      <c r="K318" s="152"/>
      <c r="L318" s="152"/>
      <c r="M318" s="152"/>
      <c r="N318" s="150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</row>
    <row r="319" customFormat="false" ht="11.25" hidden="false" customHeight="true" outlineLevel="0" collapsed="false">
      <c r="A319" s="89"/>
      <c r="B319" s="89"/>
      <c r="C319" s="89"/>
      <c r="D319" s="150"/>
      <c r="E319" s="152"/>
      <c r="F319" s="151"/>
      <c r="G319" s="151"/>
      <c r="H319" s="151"/>
      <c r="I319" s="151"/>
      <c r="J319" s="152"/>
      <c r="K319" s="152"/>
      <c r="L319" s="152"/>
      <c r="M319" s="152"/>
      <c r="N319" s="150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</row>
    <row r="320" customFormat="false" ht="11.25" hidden="false" customHeight="true" outlineLevel="0" collapsed="false">
      <c r="A320" s="89"/>
      <c r="B320" s="89"/>
      <c r="C320" s="89"/>
      <c r="D320" s="150"/>
      <c r="E320" s="152"/>
      <c r="F320" s="151"/>
      <c r="G320" s="151"/>
      <c r="H320" s="151"/>
      <c r="I320" s="151"/>
      <c r="J320" s="152"/>
      <c r="K320" s="152"/>
      <c r="L320" s="152"/>
      <c r="M320" s="152"/>
      <c r="N320" s="150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</row>
    <row r="321" customFormat="false" ht="11.25" hidden="false" customHeight="true" outlineLevel="0" collapsed="false">
      <c r="A321" s="89"/>
      <c r="B321" s="89"/>
      <c r="C321" s="89"/>
      <c r="D321" s="150"/>
      <c r="E321" s="152"/>
      <c r="F321" s="151"/>
      <c r="G321" s="151"/>
      <c r="H321" s="151"/>
      <c r="I321" s="151"/>
      <c r="J321" s="152"/>
      <c r="K321" s="152"/>
      <c r="L321" s="152"/>
      <c r="M321" s="152"/>
      <c r="N321" s="150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</row>
    <row r="322" customFormat="false" ht="11.25" hidden="false" customHeight="true" outlineLevel="0" collapsed="false">
      <c r="A322" s="89"/>
      <c r="B322" s="89"/>
      <c r="C322" s="89"/>
      <c r="D322" s="150"/>
      <c r="E322" s="152"/>
      <c r="F322" s="151"/>
      <c r="G322" s="151"/>
      <c r="H322" s="151"/>
      <c r="I322" s="151"/>
      <c r="J322" s="152"/>
      <c r="K322" s="152"/>
      <c r="L322" s="152"/>
      <c r="M322" s="152"/>
      <c r="N322" s="150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</row>
    <row r="323" customFormat="false" ht="11.25" hidden="false" customHeight="true" outlineLevel="0" collapsed="false">
      <c r="A323" s="89"/>
      <c r="B323" s="89"/>
      <c r="C323" s="89"/>
      <c r="D323" s="150"/>
      <c r="E323" s="152"/>
      <c r="F323" s="151"/>
      <c r="G323" s="151"/>
      <c r="H323" s="151"/>
      <c r="I323" s="151"/>
      <c r="J323" s="152"/>
      <c r="K323" s="152"/>
      <c r="L323" s="152"/>
      <c r="M323" s="152"/>
      <c r="N323" s="150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</row>
    <row r="324" customFormat="false" ht="11.25" hidden="false" customHeight="true" outlineLevel="0" collapsed="false">
      <c r="A324" s="89"/>
      <c r="B324" s="89"/>
      <c r="C324" s="89"/>
      <c r="D324" s="150"/>
      <c r="E324" s="152"/>
      <c r="F324" s="151"/>
      <c r="G324" s="151"/>
      <c r="H324" s="151"/>
      <c r="I324" s="151"/>
      <c r="J324" s="152"/>
      <c r="K324" s="152"/>
      <c r="L324" s="152"/>
      <c r="M324" s="152"/>
      <c r="N324" s="150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</row>
    <row r="325" customFormat="false" ht="11.25" hidden="false" customHeight="true" outlineLevel="0" collapsed="false">
      <c r="A325" s="89"/>
      <c r="B325" s="89"/>
      <c r="C325" s="89"/>
      <c r="D325" s="150"/>
      <c r="E325" s="152"/>
      <c r="F325" s="151"/>
      <c r="G325" s="151"/>
      <c r="H325" s="151"/>
      <c r="I325" s="151"/>
      <c r="J325" s="152"/>
      <c r="K325" s="152"/>
      <c r="L325" s="152"/>
      <c r="M325" s="152"/>
      <c r="N325" s="150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</row>
    <row r="326" customFormat="false" ht="11.25" hidden="false" customHeight="true" outlineLevel="0" collapsed="false">
      <c r="A326" s="89"/>
      <c r="B326" s="89"/>
      <c r="C326" s="89"/>
      <c r="D326" s="150"/>
      <c r="E326" s="152"/>
      <c r="F326" s="151"/>
      <c r="G326" s="151"/>
      <c r="H326" s="151"/>
      <c r="I326" s="151"/>
      <c r="J326" s="152"/>
      <c r="K326" s="152"/>
      <c r="L326" s="152"/>
      <c r="M326" s="152"/>
      <c r="N326" s="150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</row>
    <row r="327" customFormat="false" ht="11.25" hidden="false" customHeight="true" outlineLevel="0" collapsed="false">
      <c r="A327" s="89"/>
      <c r="B327" s="89"/>
      <c r="C327" s="89"/>
      <c r="D327" s="150"/>
      <c r="E327" s="152"/>
      <c r="F327" s="151"/>
      <c r="G327" s="151"/>
      <c r="H327" s="151"/>
      <c r="I327" s="151"/>
      <c r="J327" s="152"/>
      <c r="K327" s="152"/>
      <c r="L327" s="152"/>
      <c r="M327" s="152"/>
      <c r="N327" s="150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</row>
    <row r="328" customFormat="false" ht="11.25" hidden="false" customHeight="true" outlineLevel="0" collapsed="false">
      <c r="A328" s="89"/>
      <c r="B328" s="89"/>
      <c r="C328" s="89"/>
      <c r="D328" s="150"/>
      <c r="E328" s="152"/>
      <c r="F328" s="151"/>
      <c r="G328" s="151"/>
      <c r="H328" s="151"/>
      <c r="I328" s="151"/>
      <c r="J328" s="152"/>
      <c r="K328" s="152"/>
      <c r="L328" s="152"/>
      <c r="M328" s="152"/>
      <c r="N328" s="150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</row>
    <row r="329" customFormat="false" ht="11.25" hidden="false" customHeight="true" outlineLevel="0" collapsed="false">
      <c r="A329" s="89"/>
      <c r="B329" s="89"/>
      <c r="C329" s="89"/>
      <c r="D329" s="150"/>
      <c r="E329" s="152"/>
      <c r="F329" s="151"/>
      <c r="G329" s="151"/>
      <c r="H329" s="151"/>
      <c r="I329" s="151"/>
      <c r="J329" s="152"/>
      <c r="K329" s="152"/>
      <c r="L329" s="152"/>
      <c r="M329" s="152"/>
      <c r="N329" s="150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</row>
    <row r="330" customFormat="false" ht="11.25" hidden="false" customHeight="true" outlineLevel="0" collapsed="false">
      <c r="A330" s="89"/>
      <c r="B330" s="89"/>
      <c r="C330" s="89"/>
      <c r="D330" s="150"/>
      <c r="E330" s="152"/>
      <c r="F330" s="151"/>
      <c r="G330" s="151"/>
      <c r="H330" s="151"/>
      <c r="I330" s="151"/>
      <c r="J330" s="152"/>
      <c r="K330" s="152"/>
      <c r="L330" s="152"/>
      <c r="M330" s="152"/>
      <c r="N330" s="150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</row>
    <row r="331" customFormat="false" ht="11.25" hidden="false" customHeight="true" outlineLevel="0" collapsed="false">
      <c r="A331" s="89"/>
      <c r="B331" s="89"/>
      <c r="C331" s="89"/>
      <c r="D331" s="150"/>
      <c r="E331" s="152"/>
      <c r="F331" s="151"/>
      <c r="G331" s="151"/>
      <c r="H331" s="151"/>
      <c r="I331" s="151"/>
      <c r="J331" s="152"/>
      <c r="K331" s="152"/>
      <c r="L331" s="152"/>
      <c r="M331" s="152"/>
      <c r="N331" s="150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</row>
    <row r="332" customFormat="false" ht="11.25" hidden="false" customHeight="true" outlineLevel="0" collapsed="false">
      <c r="A332" s="89"/>
      <c r="B332" s="89"/>
      <c r="C332" s="89"/>
      <c r="D332" s="150"/>
      <c r="E332" s="152"/>
      <c r="F332" s="151"/>
      <c r="G332" s="151"/>
      <c r="H332" s="151"/>
      <c r="I332" s="151"/>
      <c r="J332" s="152"/>
      <c r="K332" s="152"/>
      <c r="L332" s="152"/>
      <c r="M332" s="152"/>
      <c r="N332" s="150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</row>
    <row r="333" customFormat="false" ht="11.25" hidden="false" customHeight="true" outlineLevel="0" collapsed="false">
      <c r="A333" s="89"/>
      <c r="B333" s="89"/>
      <c r="C333" s="89"/>
      <c r="D333" s="150"/>
      <c r="E333" s="152"/>
      <c r="F333" s="151"/>
      <c r="G333" s="151"/>
      <c r="H333" s="151"/>
      <c r="I333" s="151"/>
      <c r="J333" s="152"/>
      <c r="K333" s="152"/>
      <c r="L333" s="152"/>
      <c r="M333" s="152"/>
      <c r="N333" s="150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</row>
    <row r="334" customFormat="false" ht="11.25" hidden="false" customHeight="true" outlineLevel="0" collapsed="false">
      <c r="A334" s="89"/>
      <c r="B334" s="89"/>
      <c r="C334" s="89"/>
      <c r="D334" s="150"/>
      <c r="E334" s="152"/>
      <c r="F334" s="151"/>
      <c r="G334" s="151"/>
      <c r="H334" s="151"/>
      <c r="I334" s="151"/>
      <c r="J334" s="152"/>
      <c r="K334" s="152"/>
      <c r="L334" s="152"/>
      <c r="M334" s="152"/>
      <c r="N334" s="150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</row>
    <row r="335" customFormat="false" ht="11.25" hidden="false" customHeight="true" outlineLevel="0" collapsed="false">
      <c r="A335" s="89"/>
      <c r="B335" s="89"/>
      <c r="C335" s="89"/>
      <c r="D335" s="150"/>
      <c r="E335" s="152"/>
      <c r="F335" s="151"/>
      <c r="G335" s="151"/>
      <c r="H335" s="151"/>
      <c r="I335" s="151"/>
      <c r="J335" s="152"/>
      <c r="K335" s="152"/>
      <c r="L335" s="152"/>
      <c r="M335" s="152"/>
      <c r="N335" s="150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</row>
    <row r="336" customFormat="false" ht="11.25" hidden="false" customHeight="true" outlineLevel="0" collapsed="false">
      <c r="A336" s="89"/>
      <c r="B336" s="89"/>
      <c r="C336" s="89"/>
      <c r="D336" s="150"/>
      <c r="E336" s="152"/>
      <c r="F336" s="151"/>
      <c r="G336" s="151"/>
      <c r="H336" s="151"/>
      <c r="I336" s="151"/>
      <c r="J336" s="152"/>
      <c r="K336" s="152"/>
      <c r="L336" s="152"/>
      <c r="M336" s="152"/>
      <c r="N336" s="150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</row>
    <row r="337" customFormat="false" ht="11.25" hidden="false" customHeight="true" outlineLevel="0" collapsed="false">
      <c r="A337" s="89"/>
      <c r="B337" s="89"/>
      <c r="C337" s="89"/>
      <c r="D337" s="150"/>
      <c r="E337" s="152"/>
      <c r="F337" s="151"/>
      <c r="G337" s="151"/>
      <c r="H337" s="151"/>
      <c r="I337" s="151"/>
      <c r="J337" s="152"/>
      <c r="K337" s="152"/>
      <c r="L337" s="152"/>
      <c r="M337" s="152"/>
      <c r="N337" s="150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</row>
    <row r="338" customFormat="false" ht="11.25" hidden="false" customHeight="true" outlineLevel="0" collapsed="false">
      <c r="A338" s="89"/>
      <c r="B338" s="89"/>
      <c r="C338" s="89"/>
      <c r="D338" s="150"/>
      <c r="E338" s="152"/>
      <c r="F338" s="151"/>
      <c r="G338" s="151"/>
      <c r="H338" s="151"/>
      <c r="I338" s="151"/>
      <c r="J338" s="152"/>
      <c r="K338" s="152"/>
      <c r="L338" s="152"/>
      <c r="M338" s="152"/>
      <c r="N338" s="150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</row>
    <row r="339" customFormat="false" ht="11.25" hidden="false" customHeight="true" outlineLevel="0" collapsed="false">
      <c r="A339" s="89"/>
      <c r="B339" s="89"/>
      <c r="C339" s="89"/>
      <c r="D339" s="150"/>
      <c r="E339" s="152"/>
      <c r="F339" s="151"/>
      <c r="G339" s="151"/>
      <c r="H339" s="151"/>
      <c r="I339" s="151"/>
      <c r="J339" s="152"/>
      <c r="K339" s="152"/>
      <c r="L339" s="152"/>
      <c r="M339" s="152"/>
      <c r="N339" s="150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</row>
    <row r="340" customFormat="false" ht="11.25" hidden="false" customHeight="true" outlineLevel="0" collapsed="false">
      <c r="A340" s="89"/>
      <c r="B340" s="89"/>
      <c r="C340" s="89"/>
      <c r="D340" s="150"/>
      <c r="E340" s="152"/>
      <c r="F340" s="151"/>
      <c r="G340" s="151"/>
      <c r="H340" s="151"/>
      <c r="I340" s="151"/>
      <c r="J340" s="152"/>
      <c r="K340" s="152"/>
      <c r="L340" s="152"/>
      <c r="M340" s="152"/>
      <c r="N340" s="150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</row>
    <row r="341" customFormat="false" ht="11.25" hidden="false" customHeight="true" outlineLevel="0" collapsed="false">
      <c r="A341" s="89"/>
      <c r="B341" s="89"/>
      <c r="C341" s="89"/>
      <c r="D341" s="150"/>
      <c r="E341" s="152"/>
      <c r="F341" s="151"/>
      <c r="G341" s="151"/>
      <c r="H341" s="151"/>
      <c r="I341" s="151"/>
      <c r="J341" s="152"/>
      <c r="K341" s="152"/>
      <c r="L341" s="152"/>
      <c r="M341" s="152"/>
      <c r="N341" s="150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</row>
    <row r="342" customFormat="false" ht="11.25" hidden="false" customHeight="true" outlineLevel="0" collapsed="false">
      <c r="A342" s="89"/>
      <c r="B342" s="89"/>
      <c r="C342" s="89"/>
      <c r="D342" s="150"/>
      <c r="E342" s="152"/>
      <c r="F342" s="151"/>
      <c r="G342" s="151"/>
      <c r="H342" s="151"/>
      <c r="I342" s="151"/>
      <c r="J342" s="152"/>
      <c r="K342" s="152"/>
      <c r="L342" s="152"/>
      <c r="M342" s="152"/>
      <c r="N342" s="150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</row>
    <row r="343" customFormat="false" ht="11.25" hidden="false" customHeight="true" outlineLevel="0" collapsed="false">
      <c r="A343" s="89"/>
      <c r="B343" s="89"/>
      <c r="C343" s="89"/>
      <c r="D343" s="150"/>
      <c r="E343" s="152"/>
      <c r="F343" s="151"/>
      <c r="G343" s="151"/>
      <c r="H343" s="151"/>
      <c r="I343" s="151"/>
      <c r="J343" s="152"/>
      <c r="K343" s="152"/>
      <c r="L343" s="152"/>
      <c r="M343" s="152"/>
      <c r="N343" s="150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</row>
    <row r="344" customFormat="false" ht="11.25" hidden="false" customHeight="true" outlineLevel="0" collapsed="false">
      <c r="A344" s="89"/>
      <c r="B344" s="89"/>
      <c r="C344" s="89"/>
      <c r="D344" s="150"/>
      <c r="E344" s="152"/>
      <c r="F344" s="151"/>
      <c r="G344" s="151"/>
      <c r="H344" s="151"/>
      <c r="I344" s="151"/>
      <c r="J344" s="152"/>
      <c r="K344" s="152"/>
      <c r="L344" s="152"/>
      <c r="M344" s="152"/>
      <c r="N344" s="150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</row>
    <row r="345" customFormat="false" ht="11.25" hidden="false" customHeight="true" outlineLevel="0" collapsed="false">
      <c r="A345" s="89"/>
      <c r="B345" s="89"/>
      <c r="C345" s="89"/>
      <c r="D345" s="150"/>
      <c r="E345" s="152"/>
      <c r="F345" s="151"/>
      <c r="G345" s="151"/>
      <c r="H345" s="151"/>
      <c r="I345" s="151"/>
      <c r="J345" s="152"/>
      <c r="K345" s="152"/>
      <c r="L345" s="152"/>
      <c r="M345" s="152"/>
      <c r="N345" s="150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</row>
    <row r="346" customFormat="false" ht="11.25" hidden="false" customHeight="true" outlineLevel="0" collapsed="false">
      <c r="A346" s="89"/>
      <c r="B346" s="89"/>
      <c r="C346" s="89"/>
      <c r="D346" s="150"/>
      <c r="E346" s="152"/>
      <c r="F346" s="151"/>
      <c r="G346" s="151"/>
      <c r="H346" s="151"/>
      <c r="I346" s="151"/>
      <c r="J346" s="152"/>
      <c r="K346" s="152"/>
      <c r="L346" s="152"/>
      <c r="M346" s="152"/>
      <c r="N346" s="150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</row>
    <row r="347" customFormat="false" ht="11.25" hidden="false" customHeight="true" outlineLevel="0" collapsed="false">
      <c r="A347" s="89"/>
      <c r="B347" s="89"/>
      <c r="C347" s="89"/>
      <c r="D347" s="150"/>
      <c r="E347" s="152"/>
      <c r="F347" s="151"/>
      <c r="G347" s="151"/>
      <c r="H347" s="151"/>
      <c r="I347" s="151"/>
      <c r="J347" s="152"/>
      <c r="K347" s="152"/>
      <c r="L347" s="152"/>
      <c r="M347" s="152"/>
      <c r="N347" s="150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</row>
    <row r="348" customFormat="false" ht="11.25" hidden="false" customHeight="true" outlineLevel="0" collapsed="false">
      <c r="A348" s="89"/>
      <c r="B348" s="89"/>
      <c r="C348" s="89"/>
      <c r="D348" s="150"/>
      <c r="E348" s="152"/>
      <c r="F348" s="151"/>
      <c r="G348" s="151"/>
      <c r="H348" s="151"/>
      <c r="I348" s="151"/>
      <c r="J348" s="152"/>
      <c r="K348" s="152"/>
      <c r="L348" s="152"/>
      <c r="M348" s="152"/>
      <c r="N348" s="150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</row>
    <row r="349" customFormat="false" ht="11.25" hidden="false" customHeight="true" outlineLevel="0" collapsed="false">
      <c r="A349" s="89"/>
      <c r="B349" s="89"/>
      <c r="C349" s="89"/>
      <c r="D349" s="150"/>
      <c r="E349" s="152"/>
      <c r="F349" s="151"/>
      <c r="G349" s="151"/>
      <c r="H349" s="151"/>
      <c r="I349" s="151"/>
      <c r="J349" s="152"/>
      <c r="K349" s="152"/>
      <c r="L349" s="152"/>
      <c r="M349" s="152"/>
      <c r="N349" s="150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</row>
    <row r="350" customFormat="false" ht="11.25" hidden="false" customHeight="true" outlineLevel="0" collapsed="false">
      <c r="A350" s="89"/>
      <c r="B350" s="89"/>
      <c r="C350" s="89"/>
      <c r="D350" s="150"/>
      <c r="E350" s="152"/>
      <c r="F350" s="151"/>
      <c r="G350" s="151"/>
      <c r="H350" s="151"/>
      <c r="I350" s="151"/>
      <c r="J350" s="152"/>
      <c r="K350" s="152"/>
      <c r="L350" s="152"/>
      <c r="M350" s="152"/>
      <c r="N350" s="150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</row>
    <row r="351" customFormat="false" ht="11.25" hidden="false" customHeight="true" outlineLevel="0" collapsed="false">
      <c r="A351" s="89"/>
      <c r="B351" s="89"/>
      <c r="C351" s="89"/>
      <c r="D351" s="150"/>
      <c r="E351" s="152"/>
      <c r="F351" s="151"/>
      <c r="G351" s="151"/>
      <c r="H351" s="151"/>
      <c r="I351" s="151"/>
      <c r="J351" s="152"/>
      <c r="K351" s="152"/>
      <c r="L351" s="152"/>
      <c r="M351" s="152"/>
      <c r="N351" s="150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</row>
    <row r="352" customFormat="false" ht="11.25" hidden="false" customHeight="true" outlineLevel="0" collapsed="false">
      <c r="A352" s="89"/>
      <c r="B352" s="89"/>
      <c r="C352" s="89"/>
      <c r="D352" s="150"/>
      <c r="E352" s="152"/>
      <c r="F352" s="151"/>
      <c r="G352" s="151"/>
      <c r="H352" s="151"/>
      <c r="I352" s="151"/>
      <c r="J352" s="152"/>
      <c r="K352" s="152"/>
      <c r="L352" s="152"/>
      <c r="M352" s="152"/>
      <c r="N352" s="150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</row>
    <row r="353" customFormat="false" ht="11.25" hidden="false" customHeight="true" outlineLevel="0" collapsed="false">
      <c r="A353" s="89"/>
      <c r="B353" s="89"/>
      <c r="C353" s="89"/>
      <c r="D353" s="150"/>
      <c r="E353" s="152"/>
      <c r="F353" s="151"/>
      <c r="G353" s="151"/>
      <c r="H353" s="151"/>
      <c r="I353" s="151"/>
      <c r="J353" s="152"/>
      <c r="K353" s="152"/>
      <c r="L353" s="152"/>
      <c r="M353" s="152"/>
      <c r="N353" s="150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</row>
    <row r="354" customFormat="false" ht="11.25" hidden="false" customHeight="true" outlineLevel="0" collapsed="false">
      <c r="A354" s="89"/>
      <c r="B354" s="89"/>
      <c r="C354" s="89"/>
      <c r="D354" s="150"/>
      <c r="E354" s="152"/>
      <c r="F354" s="151"/>
      <c r="G354" s="151"/>
      <c r="H354" s="151"/>
      <c r="I354" s="151"/>
      <c r="J354" s="152"/>
      <c r="K354" s="152"/>
      <c r="L354" s="152"/>
      <c r="M354" s="152"/>
      <c r="N354" s="150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</row>
    <row r="355" customFormat="false" ht="11.25" hidden="false" customHeight="true" outlineLevel="0" collapsed="false">
      <c r="A355" s="89"/>
      <c r="B355" s="89"/>
      <c r="C355" s="89"/>
      <c r="D355" s="150"/>
      <c r="E355" s="152"/>
      <c r="F355" s="151"/>
      <c r="G355" s="151"/>
      <c r="H355" s="151"/>
      <c r="I355" s="151"/>
      <c r="J355" s="152"/>
      <c r="K355" s="152"/>
      <c r="L355" s="152"/>
      <c r="M355" s="152"/>
      <c r="N355" s="150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</row>
    <row r="356" customFormat="false" ht="11.25" hidden="false" customHeight="true" outlineLevel="0" collapsed="false">
      <c r="A356" s="89"/>
      <c r="B356" s="89"/>
      <c r="C356" s="89"/>
      <c r="D356" s="150"/>
      <c r="E356" s="152"/>
      <c r="F356" s="151"/>
      <c r="G356" s="151"/>
      <c r="H356" s="151"/>
      <c r="I356" s="151"/>
      <c r="J356" s="152"/>
      <c r="K356" s="152"/>
      <c r="L356" s="152"/>
      <c r="M356" s="152"/>
      <c r="N356" s="150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</row>
    <row r="357" customFormat="false" ht="11.25" hidden="false" customHeight="true" outlineLevel="0" collapsed="false">
      <c r="A357" s="89"/>
      <c r="B357" s="89"/>
      <c r="C357" s="89"/>
      <c r="D357" s="150"/>
      <c r="E357" s="152"/>
      <c r="F357" s="151"/>
      <c r="G357" s="151"/>
      <c r="H357" s="151"/>
      <c r="I357" s="151"/>
      <c r="J357" s="152"/>
      <c r="K357" s="152"/>
      <c r="L357" s="152"/>
      <c r="M357" s="152"/>
      <c r="N357" s="150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</row>
    <row r="358" customFormat="false" ht="11.25" hidden="false" customHeight="true" outlineLevel="0" collapsed="false">
      <c r="A358" s="89"/>
      <c r="B358" s="89"/>
      <c r="C358" s="89"/>
      <c r="D358" s="150"/>
      <c r="E358" s="152"/>
      <c r="F358" s="151"/>
      <c r="G358" s="151"/>
      <c r="H358" s="151"/>
      <c r="I358" s="151"/>
      <c r="J358" s="152"/>
      <c r="K358" s="152"/>
      <c r="L358" s="152"/>
      <c r="M358" s="152"/>
      <c r="N358" s="150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</row>
    <row r="359" customFormat="false" ht="11.25" hidden="false" customHeight="true" outlineLevel="0" collapsed="false">
      <c r="A359" s="89"/>
      <c r="B359" s="89"/>
      <c r="C359" s="89"/>
      <c r="D359" s="150"/>
      <c r="E359" s="152"/>
      <c r="F359" s="151"/>
      <c r="G359" s="151"/>
      <c r="H359" s="151"/>
      <c r="I359" s="151"/>
      <c r="J359" s="152"/>
      <c r="K359" s="152"/>
      <c r="L359" s="152"/>
      <c r="M359" s="152"/>
      <c r="N359" s="150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</row>
    <row r="360" customFormat="false" ht="11.25" hidden="false" customHeight="true" outlineLevel="0" collapsed="false">
      <c r="A360" s="89"/>
      <c r="B360" s="89"/>
      <c r="C360" s="89"/>
      <c r="D360" s="150"/>
      <c r="E360" s="152"/>
      <c r="F360" s="151"/>
      <c r="G360" s="151"/>
      <c r="H360" s="151"/>
      <c r="I360" s="151"/>
      <c r="J360" s="152"/>
      <c r="K360" s="152"/>
      <c r="L360" s="152"/>
      <c r="M360" s="152"/>
      <c r="N360" s="150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</row>
    <row r="361" customFormat="false" ht="11.25" hidden="false" customHeight="true" outlineLevel="0" collapsed="false">
      <c r="A361" s="89"/>
      <c r="B361" s="89"/>
      <c r="C361" s="89"/>
      <c r="D361" s="150"/>
      <c r="E361" s="152"/>
      <c r="F361" s="151"/>
      <c r="G361" s="151"/>
      <c r="H361" s="151"/>
      <c r="I361" s="151"/>
      <c r="J361" s="152"/>
      <c r="K361" s="152"/>
      <c r="L361" s="152"/>
      <c r="M361" s="152"/>
      <c r="N361" s="150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</row>
    <row r="362" customFormat="false" ht="11.25" hidden="false" customHeight="true" outlineLevel="0" collapsed="false">
      <c r="A362" s="89"/>
      <c r="B362" s="89"/>
      <c r="C362" s="89"/>
      <c r="D362" s="150"/>
      <c r="E362" s="152"/>
      <c r="F362" s="151"/>
      <c r="G362" s="151"/>
      <c r="H362" s="151"/>
      <c r="I362" s="151"/>
      <c r="J362" s="152"/>
      <c r="K362" s="152"/>
      <c r="L362" s="152"/>
      <c r="M362" s="152"/>
      <c r="N362" s="150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</row>
    <row r="363" customFormat="false" ht="11.25" hidden="false" customHeight="true" outlineLevel="0" collapsed="false">
      <c r="A363" s="89"/>
      <c r="B363" s="89"/>
      <c r="C363" s="89"/>
      <c r="D363" s="150"/>
      <c r="E363" s="152"/>
      <c r="F363" s="151"/>
      <c r="G363" s="151"/>
      <c r="H363" s="151"/>
      <c r="I363" s="151"/>
      <c r="J363" s="152"/>
      <c r="K363" s="152"/>
      <c r="L363" s="152"/>
      <c r="M363" s="152"/>
      <c r="N363" s="150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</row>
    <row r="364" customFormat="false" ht="11.25" hidden="false" customHeight="true" outlineLevel="0" collapsed="false">
      <c r="A364" s="89"/>
      <c r="B364" s="89"/>
      <c r="C364" s="89"/>
      <c r="D364" s="150"/>
      <c r="E364" s="152"/>
      <c r="F364" s="151"/>
      <c r="G364" s="151"/>
      <c r="H364" s="151"/>
      <c r="I364" s="151"/>
      <c r="J364" s="152"/>
      <c r="K364" s="152"/>
      <c r="L364" s="152"/>
      <c r="M364" s="152"/>
      <c r="N364" s="150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</row>
    <row r="365" customFormat="false" ht="11.25" hidden="false" customHeight="true" outlineLevel="0" collapsed="false">
      <c r="A365" s="89"/>
      <c r="B365" s="89"/>
      <c r="C365" s="89"/>
      <c r="D365" s="150"/>
      <c r="E365" s="152"/>
      <c r="F365" s="151"/>
      <c r="G365" s="151"/>
      <c r="H365" s="151"/>
      <c r="I365" s="151"/>
      <c r="J365" s="152"/>
      <c r="K365" s="152"/>
      <c r="L365" s="152"/>
      <c r="M365" s="152"/>
      <c r="N365" s="150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</row>
    <row r="366" customFormat="false" ht="11.25" hidden="false" customHeight="true" outlineLevel="0" collapsed="false">
      <c r="A366" s="89"/>
      <c r="B366" s="89"/>
      <c r="C366" s="89"/>
      <c r="D366" s="150"/>
      <c r="E366" s="152"/>
      <c r="F366" s="151"/>
      <c r="G366" s="151"/>
      <c r="H366" s="151"/>
      <c r="I366" s="151"/>
      <c r="J366" s="152"/>
      <c r="K366" s="152"/>
      <c r="L366" s="152"/>
      <c r="M366" s="152"/>
      <c r="N366" s="150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</row>
    <row r="367" customFormat="false" ht="11.25" hidden="false" customHeight="true" outlineLevel="0" collapsed="false">
      <c r="A367" s="89"/>
      <c r="B367" s="89"/>
      <c r="C367" s="89"/>
      <c r="D367" s="150"/>
      <c r="E367" s="152"/>
      <c r="F367" s="151"/>
      <c r="G367" s="151"/>
      <c r="H367" s="151"/>
      <c r="I367" s="151"/>
      <c r="J367" s="152"/>
      <c r="K367" s="152"/>
      <c r="L367" s="152"/>
      <c r="M367" s="152"/>
      <c r="N367" s="150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</row>
    <row r="368" customFormat="false" ht="11.25" hidden="false" customHeight="true" outlineLevel="0" collapsed="false">
      <c r="A368" s="89"/>
      <c r="B368" s="89"/>
      <c r="C368" s="89"/>
      <c r="D368" s="150"/>
      <c r="E368" s="152"/>
      <c r="F368" s="151"/>
      <c r="G368" s="151"/>
      <c r="H368" s="151"/>
      <c r="I368" s="151"/>
      <c r="J368" s="152"/>
      <c r="K368" s="152"/>
      <c r="L368" s="152"/>
      <c r="M368" s="152"/>
      <c r="N368" s="150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</row>
    <row r="369" customFormat="false" ht="11.25" hidden="false" customHeight="true" outlineLevel="0" collapsed="false">
      <c r="A369" s="89"/>
      <c r="B369" s="89"/>
      <c r="C369" s="89"/>
      <c r="D369" s="150"/>
      <c r="E369" s="152"/>
      <c r="F369" s="151"/>
      <c r="G369" s="151"/>
      <c r="H369" s="151"/>
      <c r="I369" s="151"/>
      <c r="J369" s="152"/>
      <c r="K369" s="152"/>
      <c r="L369" s="152"/>
      <c r="M369" s="152"/>
      <c r="N369" s="150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</row>
    <row r="370" customFormat="false" ht="11.25" hidden="false" customHeight="true" outlineLevel="0" collapsed="false">
      <c r="A370" s="89"/>
      <c r="B370" s="89"/>
      <c r="C370" s="89"/>
      <c r="D370" s="150"/>
      <c r="E370" s="152"/>
      <c r="F370" s="151"/>
      <c r="G370" s="151"/>
      <c r="H370" s="151"/>
      <c r="I370" s="151"/>
      <c r="J370" s="152"/>
      <c r="K370" s="152"/>
      <c r="L370" s="152"/>
      <c r="M370" s="152"/>
      <c r="N370" s="150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</row>
    <row r="371" customFormat="false" ht="11.25" hidden="false" customHeight="true" outlineLevel="0" collapsed="false">
      <c r="A371" s="89"/>
      <c r="B371" s="89"/>
      <c r="C371" s="89"/>
      <c r="D371" s="150"/>
      <c r="E371" s="152"/>
      <c r="F371" s="151"/>
      <c r="G371" s="151"/>
      <c r="H371" s="151"/>
      <c r="I371" s="151"/>
      <c r="J371" s="152"/>
      <c r="K371" s="152"/>
      <c r="L371" s="152"/>
      <c r="M371" s="152"/>
      <c r="N371" s="150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</row>
    <row r="372" customFormat="false" ht="11.25" hidden="false" customHeight="true" outlineLevel="0" collapsed="false">
      <c r="A372" s="89"/>
      <c r="B372" s="89"/>
      <c r="C372" s="89"/>
      <c r="D372" s="150"/>
      <c r="E372" s="152"/>
      <c r="F372" s="151"/>
      <c r="G372" s="151"/>
      <c r="H372" s="151"/>
      <c r="I372" s="151"/>
      <c r="J372" s="152"/>
      <c r="K372" s="152"/>
      <c r="L372" s="152"/>
      <c r="M372" s="152"/>
      <c r="N372" s="150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</row>
    <row r="373" customFormat="false" ht="11.25" hidden="false" customHeight="true" outlineLevel="0" collapsed="false">
      <c r="A373" s="89"/>
      <c r="B373" s="89"/>
      <c r="C373" s="89"/>
      <c r="D373" s="150"/>
      <c r="E373" s="152"/>
      <c r="F373" s="151"/>
      <c r="G373" s="151"/>
      <c r="H373" s="151"/>
      <c r="I373" s="151"/>
      <c r="J373" s="152"/>
      <c r="K373" s="152"/>
      <c r="L373" s="152"/>
      <c r="M373" s="152"/>
      <c r="N373" s="150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</row>
    <row r="374" customFormat="false" ht="11.25" hidden="false" customHeight="true" outlineLevel="0" collapsed="false">
      <c r="A374" s="89"/>
      <c r="B374" s="89"/>
      <c r="C374" s="89"/>
      <c r="D374" s="150"/>
      <c r="E374" s="152"/>
      <c r="F374" s="151"/>
      <c r="G374" s="151"/>
      <c r="H374" s="151"/>
      <c r="I374" s="151"/>
      <c r="J374" s="152"/>
      <c r="K374" s="152"/>
      <c r="L374" s="152"/>
      <c r="M374" s="152"/>
      <c r="N374" s="150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</row>
    <row r="375" customFormat="false" ht="11.25" hidden="false" customHeight="true" outlineLevel="0" collapsed="false">
      <c r="A375" s="89"/>
      <c r="B375" s="89"/>
      <c r="C375" s="89"/>
      <c r="D375" s="150"/>
      <c r="E375" s="152"/>
      <c r="F375" s="151"/>
      <c r="G375" s="151"/>
      <c r="H375" s="151"/>
      <c r="I375" s="151"/>
      <c r="J375" s="152"/>
      <c r="K375" s="152"/>
      <c r="L375" s="152"/>
      <c r="M375" s="152"/>
      <c r="N375" s="150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</row>
    <row r="376" customFormat="false" ht="11.25" hidden="false" customHeight="true" outlineLevel="0" collapsed="false">
      <c r="A376" s="89"/>
      <c r="B376" s="89"/>
      <c r="C376" s="89"/>
      <c r="D376" s="150"/>
      <c r="E376" s="152"/>
      <c r="F376" s="151"/>
      <c r="G376" s="151"/>
      <c r="H376" s="151"/>
      <c r="I376" s="151"/>
      <c r="J376" s="152"/>
      <c r="K376" s="152"/>
      <c r="L376" s="152"/>
      <c r="M376" s="152"/>
      <c r="N376" s="150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</row>
    <row r="377" customFormat="false" ht="11.25" hidden="false" customHeight="true" outlineLevel="0" collapsed="false">
      <c r="A377" s="89"/>
      <c r="B377" s="89"/>
      <c r="C377" s="89"/>
      <c r="D377" s="150"/>
      <c r="E377" s="152"/>
      <c r="F377" s="151"/>
      <c r="G377" s="151"/>
      <c r="H377" s="151"/>
      <c r="I377" s="151"/>
      <c r="J377" s="152"/>
      <c r="K377" s="152"/>
      <c r="L377" s="152"/>
      <c r="M377" s="152"/>
      <c r="N377" s="150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</row>
    <row r="378" customFormat="false" ht="11.25" hidden="false" customHeight="true" outlineLevel="0" collapsed="false">
      <c r="A378" s="89"/>
      <c r="B378" s="89"/>
      <c r="C378" s="89"/>
      <c r="D378" s="150"/>
      <c r="E378" s="152"/>
      <c r="F378" s="151"/>
      <c r="G378" s="151"/>
      <c r="H378" s="151"/>
      <c r="I378" s="151"/>
      <c r="J378" s="152"/>
      <c r="K378" s="152"/>
      <c r="L378" s="152"/>
      <c r="M378" s="152"/>
      <c r="N378" s="150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</row>
    <row r="379" customFormat="false" ht="11.25" hidden="false" customHeight="true" outlineLevel="0" collapsed="false">
      <c r="A379" s="89"/>
      <c r="B379" s="89"/>
      <c r="C379" s="89"/>
      <c r="D379" s="150"/>
      <c r="E379" s="152"/>
      <c r="F379" s="151"/>
      <c r="G379" s="151"/>
      <c r="H379" s="151"/>
      <c r="I379" s="151"/>
      <c r="J379" s="152"/>
      <c r="K379" s="152"/>
      <c r="L379" s="152"/>
      <c r="M379" s="152"/>
      <c r="N379" s="150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</row>
    <row r="380" customFormat="false" ht="11.25" hidden="false" customHeight="true" outlineLevel="0" collapsed="false">
      <c r="A380" s="89"/>
      <c r="B380" s="89"/>
      <c r="C380" s="89"/>
      <c r="D380" s="150"/>
      <c r="E380" s="152"/>
      <c r="F380" s="151"/>
      <c r="G380" s="151"/>
      <c r="H380" s="151"/>
      <c r="I380" s="151"/>
      <c r="J380" s="152"/>
      <c r="K380" s="152"/>
      <c r="L380" s="152"/>
      <c r="M380" s="152"/>
      <c r="N380" s="150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</row>
    <row r="381" customFormat="false" ht="11.25" hidden="false" customHeight="true" outlineLevel="0" collapsed="false">
      <c r="A381" s="89"/>
      <c r="B381" s="89"/>
      <c r="C381" s="89"/>
      <c r="D381" s="150"/>
      <c r="E381" s="152"/>
      <c r="F381" s="151"/>
      <c r="G381" s="151"/>
      <c r="H381" s="151"/>
      <c r="I381" s="151"/>
      <c r="J381" s="152"/>
      <c r="K381" s="152"/>
      <c r="L381" s="152"/>
      <c r="M381" s="152"/>
      <c r="N381" s="150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</row>
    <row r="382" customFormat="false" ht="11.25" hidden="false" customHeight="true" outlineLevel="0" collapsed="false">
      <c r="A382" s="89"/>
      <c r="B382" s="89"/>
      <c r="C382" s="89"/>
      <c r="D382" s="150"/>
      <c r="E382" s="152"/>
      <c r="F382" s="151"/>
      <c r="G382" s="151"/>
      <c r="H382" s="151"/>
      <c r="I382" s="151"/>
      <c r="J382" s="152"/>
      <c r="K382" s="152"/>
      <c r="L382" s="152"/>
      <c r="M382" s="152"/>
      <c r="N382" s="150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</row>
    <row r="383" customFormat="false" ht="11.25" hidden="false" customHeight="true" outlineLevel="0" collapsed="false">
      <c r="A383" s="89"/>
      <c r="B383" s="89"/>
      <c r="C383" s="89"/>
      <c r="D383" s="150"/>
      <c r="E383" s="152"/>
      <c r="F383" s="151"/>
      <c r="G383" s="151"/>
      <c r="H383" s="151"/>
      <c r="I383" s="151"/>
      <c r="J383" s="152"/>
      <c r="K383" s="152"/>
      <c r="L383" s="152"/>
      <c r="M383" s="152"/>
      <c r="N383" s="150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</row>
    <row r="384" customFormat="false" ht="11.25" hidden="false" customHeight="true" outlineLevel="0" collapsed="false">
      <c r="A384" s="89"/>
      <c r="B384" s="89"/>
      <c r="C384" s="89"/>
      <c r="D384" s="150"/>
      <c r="E384" s="152"/>
      <c r="F384" s="151"/>
      <c r="G384" s="151"/>
      <c r="H384" s="151"/>
      <c r="I384" s="151"/>
      <c r="J384" s="152"/>
      <c r="K384" s="152"/>
      <c r="L384" s="152"/>
      <c r="M384" s="152"/>
      <c r="N384" s="150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</row>
    <row r="385" customFormat="false" ht="11.25" hidden="false" customHeight="true" outlineLevel="0" collapsed="false">
      <c r="A385" s="89"/>
      <c r="B385" s="89"/>
      <c r="C385" s="89"/>
      <c r="D385" s="150"/>
      <c r="E385" s="152"/>
      <c r="F385" s="151"/>
      <c r="G385" s="151"/>
      <c r="H385" s="151"/>
      <c r="I385" s="151"/>
      <c r="J385" s="152"/>
      <c r="K385" s="152"/>
      <c r="L385" s="152"/>
      <c r="M385" s="152"/>
      <c r="N385" s="150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</row>
    <row r="386" customFormat="false" ht="11.25" hidden="false" customHeight="true" outlineLevel="0" collapsed="false">
      <c r="A386" s="89"/>
      <c r="B386" s="89"/>
      <c r="C386" s="89"/>
      <c r="D386" s="150"/>
      <c r="E386" s="152"/>
      <c r="F386" s="151"/>
      <c r="G386" s="151"/>
      <c r="H386" s="151"/>
      <c r="I386" s="151"/>
      <c r="J386" s="152"/>
      <c r="K386" s="152"/>
      <c r="L386" s="152"/>
      <c r="M386" s="152"/>
      <c r="N386" s="150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</row>
    <row r="387" customFormat="false" ht="11.25" hidden="false" customHeight="true" outlineLevel="0" collapsed="false">
      <c r="A387" s="89"/>
      <c r="B387" s="89"/>
      <c r="C387" s="89"/>
      <c r="D387" s="150"/>
      <c r="E387" s="152"/>
      <c r="F387" s="151"/>
      <c r="G387" s="151"/>
      <c r="H387" s="151"/>
      <c r="I387" s="151"/>
      <c r="J387" s="152"/>
      <c r="K387" s="152"/>
      <c r="L387" s="152"/>
      <c r="M387" s="152"/>
      <c r="N387" s="150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</row>
    <row r="388" customFormat="false" ht="11.25" hidden="false" customHeight="true" outlineLevel="0" collapsed="false">
      <c r="A388" s="89"/>
      <c r="B388" s="89"/>
      <c r="C388" s="89"/>
      <c r="D388" s="150"/>
      <c r="E388" s="152"/>
      <c r="F388" s="151"/>
      <c r="G388" s="151"/>
      <c r="H388" s="151"/>
      <c r="I388" s="151"/>
      <c r="J388" s="152"/>
      <c r="K388" s="152"/>
      <c r="L388" s="152"/>
      <c r="M388" s="152"/>
      <c r="N388" s="150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</row>
    <row r="389" customFormat="false" ht="11.25" hidden="false" customHeight="true" outlineLevel="0" collapsed="false">
      <c r="A389" s="89"/>
      <c r="B389" s="89"/>
      <c r="C389" s="89"/>
      <c r="D389" s="150"/>
      <c r="E389" s="152"/>
      <c r="F389" s="151"/>
      <c r="G389" s="151"/>
      <c r="H389" s="151"/>
      <c r="I389" s="151"/>
      <c r="J389" s="152"/>
      <c r="K389" s="152"/>
      <c r="L389" s="152"/>
      <c r="M389" s="152"/>
      <c r="N389" s="150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</row>
    <row r="390" customFormat="false" ht="11.25" hidden="false" customHeight="true" outlineLevel="0" collapsed="false">
      <c r="A390" s="89"/>
      <c r="B390" s="89"/>
      <c r="C390" s="89"/>
      <c r="D390" s="150"/>
      <c r="E390" s="152"/>
      <c r="F390" s="151"/>
      <c r="G390" s="151"/>
      <c r="H390" s="151"/>
      <c r="I390" s="151"/>
      <c r="J390" s="152"/>
      <c r="K390" s="152"/>
      <c r="L390" s="152"/>
      <c r="M390" s="152"/>
      <c r="N390" s="150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</row>
    <row r="391" customFormat="false" ht="11.25" hidden="false" customHeight="true" outlineLevel="0" collapsed="false">
      <c r="A391" s="89"/>
      <c r="B391" s="89"/>
      <c r="C391" s="89"/>
      <c r="D391" s="150"/>
      <c r="E391" s="152"/>
      <c r="F391" s="151"/>
      <c r="G391" s="151"/>
      <c r="H391" s="151"/>
      <c r="I391" s="151"/>
      <c r="J391" s="152"/>
      <c r="K391" s="152"/>
      <c r="L391" s="152"/>
      <c r="M391" s="152"/>
      <c r="N391" s="150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</row>
    <row r="392" customFormat="false" ht="11.25" hidden="false" customHeight="true" outlineLevel="0" collapsed="false">
      <c r="A392" s="89"/>
      <c r="B392" s="89"/>
      <c r="C392" s="89"/>
      <c r="D392" s="150"/>
      <c r="E392" s="152"/>
      <c r="F392" s="151"/>
      <c r="G392" s="151"/>
      <c r="H392" s="151"/>
      <c r="I392" s="151"/>
      <c r="J392" s="152"/>
      <c r="K392" s="152"/>
      <c r="L392" s="152"/>
      <c r="M392" s="152"/>
      <c r="N392" s="150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</row>
    <row r="393" customFormat="false" ht="11.25" hidden="false" customHeight="true" outlineLevel="0" collapsed="false">
      <c r="A393" s="89"/>
      <c r="B393" s="89"/>
      <c r="C393" s="89"/>
      <c r="D393" s="150"/>
      <c r="E393" s="152"/>
      <c r="F393" s="151"/>
      <c r="G393" s="151"/>
      <c r="H393" s="151"/>
      <c r="I393" s="151"/>
      <c r="J393" s="152"/>
      <c r="K393" s="152"/>
      <c r="L393" s="152"/>
      <c r="M393" s="152"/>
      <c r="N393" s="150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</row>
    <row r="394" customFormat="false" ht="11.25" hidden="false" customHeight="true" outlineLevel="0" collapsed="false">
      <c r="A394" s="89"/>
      <c r="B394" s="89"/>
      <c r="C394" s="89"/>
      <c r="D394" s="150"/>
      <c r="E394" s="152"/>
      <c r="F394" s="151"/>
      <c r="G394" s="151"/>
      <c r="H394" s="151"/>
      <c r="I394" s="151"/>
      <c r="J394" s="152"/>
      <c r="K394" s="152"/>
      <c r="L394" s="152"/>
      <c r="M394" s="152"/>
      <c r="N394" s="150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</row>
    <row r="395" customFormat="false" ht="11.25" hidden="false" customHeight="true" outlineLevel="0" collapsed="false">
      <c r="A395" s="89"/>
      <c r="B395" s="89"/>
      <c r="C395" s="89"/>
      <c r="D395" s="150"/>
      <c r="E395" s="152"/>
      <c r="F395" s="151"/>
      <c r="G395" s="151"/>
      <c r="H395" s="151"/>
      <c r="I395" s="151"/>
      <c r="J395" s="152"/>
      <c r="K395" s="152"/>
      <c r="L395" s="152"/>
      <c r="M395" s="152"/>
      <c r="N395" s="150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</row>
    <row r="396" customFormat="false" ht="11.25" hidden="false" customHeight="true" outlineLevel="0" collapsed="false">
      <c r="A396" s="89"/>
      <c r="B396" s="89"/>
      <c r="C396" s="89"/>
      <c r="D396" s="150"/>
      <c r="E396" s="152"/>
      <c r="F396" s="151"/>
      <c r="G396" s="151"/>
      <c r="H396" s="151"/>
      <c r="I396" s="151"/>
      <c r="J396" s="152"/>
      <c r="K396" s="152"/>
      <c r="L396" s="152"/>
      <c r="M396" s="152"/>
      <c r="N396" s="150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</row>
    <row r="397" customFormat="false" ht="11.25" hidden="false" customHeight="true" outlineLevel="0" collapsed="false">
      <c r="A397" s="89"/>
      <c r="B397" s="89"/>
      <c r="C397" s="89"/>
      <c r="D397" s="150"/>
      <c r="E397" s="152"/>
      <c r="F397" s="151"/>
      <c r="G397" s="151"/>
      <c r="H397" s="151"/>
      <c r="I397" s="151"/>
      <c r="J397" s="152"/>
      <c r="K397" s="152"/>
      <c r="L397" s="152"/>
      <c r="M397" s="152"/>
      <c r="N397" s="150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</row>
    <row r="398" customFormat="false" ht="11.25" hidden="false" customHeight="true" outlineLevel="0" collapsed="false">
      <c r="A398" s="89"/>
      <c r="B398" s="89"/>
      <c r="C398" s="89"/>
      <c r="D398" s="150"/>
      <c r="E398" s="152"/>
      <c r="F398" s="151"/>
      <c r="G398" s="151"/>
      <c r="H398" s="151"/>
      <c r="I398" s="151"/>
      <c r="J398" s="152"/>
      <c r="K398" s="152"/>
      <c r="L398" s="152"/>
      <c r="M398" s="152"/>
      <c r="N398" s="150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</row>
    <row r="399" customFormat="false" ht="11.25" hidden="false" customHeight="true" outlineLevel="0" collapsed="false">
      <c r="A399" s="89"/>
      <c r="B399" s="89"/>
      <c r="C399" s="89"/>
      <c r="D399" s="150"/>
      <c r="E399" s="152"/>
      <c r="F399" s="151"/>
      <c r="G399" s="151"/>
      <c r="H399" s="151"/>
      <c r="I399" s="151"/>
      <c r="J399" s="152"/>
      <c r="K399" s="152"/>
      <c r="L399" s="152"/>
      <c r="M399" s="152"/>
      <c r="N399" s="150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</row>
    <row r="400" customFormat="false" ht="11.25" hidden="false" customHeight="true" outlineLevel="0" collapsed="false">
      <c r="A400" s="89"/>
      <c r="B400" s="89"/>
      <c r="C400" s="89"/>
      <c r="D400" s="150"/>
      <c r="E400" s="152"/>
      <c r="F400" s="151"/>
      <c r="G400" s="151"/>
      <c r="H400" s="151"/>
      <c r="I400" s="151"/>
      <c r="J400" s="152"/>
      <c r="K400" s="152"/>
      <c r="L400" s="152"/>
      <c r="M400" s="152"/>
      <c r="N400" s="150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</row>
    <row r="401" customFormat="false" ht="11.25" hidden="false" customHeight="true" outlineLevel="0" collapsed="false">
      <c r="A401" s="89"/>
      <c r="B401" s="89"/>
      <c r="C401" s="89"/>
      <c r="D401" s="150"/>
      <c r="E401" s="152"/>
      <c r="F401" s="151"/>
      <c r="G401" s="151"/>
      <c r="H401" s="151"/>
      <c r="I401" s="151"/>
      <c r="J401" s="152"/>
      <c r="K401" s="152"/>
      <c r="L401" s="152"/>
      <c r="M401" s="152"/>
      <c r="N401" s="150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</row>
    <row r="402" customFormat="false" ht="11.25" hidden="false" customHeight="true" outlineLevel="0" collapsed="false">
      <c r="A402" s="89"/>
      <c r="B402" s="89"/>
      <c r="C402" s="89"/>
      <c r="D402" s="150"/>
      <c r="E402" s="152"/>
      <c r="F402" s="151"/>
      <c r="G402" s="151"/>
      <c r="H402" s="151"/>
      <c r="I402" s="151"/>
      <c r="J402" s="152"/>
      <c r="K402" s="152"/>
      <c r="L402" s="152"/>
      <c r="M402" s="152"/>
      <c r="N402" s="150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</row>
    <row r="403" customFormat="false" ht="11.25" hidden="false" customHeight="true" outlineLevel="0" collapsed="false">
      <c r="A403" s="89"/>
      <c r="B403" s="89"/>
      <c r="C403" s="89"/>
      <c r="D403" s="150"/>
      <c r="E403" s="152"/>
      <c r="F403" s="151"/>
      <c r="G403" s="151"/>
      <c r="H403" s="151"/>
      <c r="I403" s="151"/>
      <c r="J403" s="152"/>
      <c r="K403" s="152"/>
      <c r="L403" s="152"/>
      <c r="M403" s="152"/>
      <c r="N403" s="150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</row>
    <row r="404" customFormat="false" ht="11.25" hidden="false" customHeight="true" outlineLevel="0" collapsed="false">
      <c r="A404" s="89"/>
      <c r="B404" s="89"/>
      <c r="C404" s="89"/>
      <c r="D404" s="150"/>
      <c r="E404" s="152"/>
      <c r="F404" s="151"/>
      <c r="G404" s="151"/>
      <c r="H404" s="151"/>
      <c r="I404" s="151"/>
      <c r="J404" s="152"/>
      <c r="K404" s="152"/>
      <c r="L404" s="152"/>
      <c r="M404" s="152"/>
      <c r="N404" s="150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</row>
    <row r="405" customFormat="false" ht="11.25" hidden="false" customHeight="true" outlineLevel="0" collapsed="false">
      <c r="A405" s="89"/>
      <c r="B405" s="89"/>
      <c r="C405" s="89"/>
      <c r="D405" s="150"/>
      <c r="E405" s="152"/>
      <c r="F405" s="151"/>
      <c r="G405" s="151"/>
      <c r="H405" s="151"/>
      <c r="I405" s="151"/>
      <c r="J405" s="152"/>
      <c r="K405" s="152"/>
      <c r="L405" s="152"/>
      <c r="M405" s="152"/>
      <c r="N405" s="150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</row>
    <row r="406" customFormat="false" ht="11.25" hidden="false" customHeight="true" outlineLevel="0" collapsed="false">
      <c r="A406" s="89"/>
      <c r="B406" s="89"/>
      <c r="C406" s="89"/>
      <c r="D406" s="150"/>
      <c r="E406" s="152"/>
      <c r="F406" s="151"/>
      <c r="G406" s="151"/>
      <c r="H406" s="151"/>
      <c r="I406" s="151"/>
      <c r="J406" s="152"/>
      <c r="K406" s="152"/>
      <c r="L406" s="152"/>
      <c r="M406" s="152"/>
      <c r="N406" s="150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</row>
    <row r="407" customFormat="false" ht="11.25" hidden="false" customHeight="true" outlineLevel="0" collapsed="false">
      <c r="A407" s="89"/>
      <c r="B407" s="89"/>
      <c r="C407" s="89"/>
      <c r="D407" s="150"/>
      <c r="E407" s="152"/>
      <c r="F407" s="151"/>
      <c r="G407" s="151"/>
      <c r="H407" s="151"/>
      <c r="I407" s="151"/>
      <c r="J407" s="152"/>
      <c r="K407" s="152"/>
      <c r="L407" s="152"/>
      <c r="M407" s="152"/>
      <c r="N407" s="150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</row>
    <row r="408" customFormat="false" ht="11.25" hidden="false" customHeight="true" outlineLevel="0" collapsed="false">
      <c r="A408" s="89"/>
      <c r="B408" s="89"/>
      <c r="C408" s="89"/>
      <c r="D408" s="150"/>
      <c r="E408" s="152"/>
      <c r="F408" s="151"/>
      <c r="G408" s="151"/>
      <c r="H408" s="151"/>
      <c r="I408" s="151"/>
      <c r="J408" s="152"/>
      <c r="K408" s="152"/>
      <c r="L408" s="152"/>
      <c r="M408" s="152"/>
      <c r="N408" s="150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</row>
    <row r="409" customFormat="false" ht="11.25" hidden="false" customHeight="true" outlineLevel="0" collapsed="false">
      <c r="A409" s="89"/>
      <c r="B409" s="89"/>
      <c r="C409" s="89"/>
      <c r="D409" s="150"/>
      <c r="E409" s="152"/>
      <c r="F409" s="151"/>
      <c r="G409" s="151"/>
      <c r="H409" s="151"/>
      <c r="I409" s="151"/>
      <c r="J409" s="152"/>
      <c r="K409" s="152"/>
      <c r="L409" s="152"/>
      <c r="M409" s="152"/>
      <c r="N409" s="150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</row>
    <row r="410" customFormat="false" ht="11.25" hidden="false" customHeight="true" outlineLevel="0" collapsed="false">
      <c r="A410" s="89"/>
      <c r="B410" s="89"/>
      <c r="C410" s="89"/>
      <c r="D410" s="150"/>
      <c r="E410" s="152"/>
      <c r="F410" s="151"/>
      <c r="G410" s="151"/>
      <c r="H410" s="151"/>
      <c r="I410" s="151"/>
      <c r="J410" s="152"/>
      <c r="K410" s="152"/>
      <c r="L410" s="152"/>
      <c r="M410" s="152"/>
      <c r="N410" s="150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</row>
    <row r="411" customFormat="false" ht="11.25" hidden="false" customHeight="true" outlineLevel="0" collapsed="false">
      <c r="A411" s="89"/>
      <c r="B411" s="89"/>
      <c r="C411" s="89"/>
      <c r="D411" s="150"/>
      <c r="E411" s="152"/>
      <c r="F411" s="151"/>
      <c r="G411" s="151"/>
      <c r="H411" s="151"/>
      <c r="I411" s="151"/>
      <c r="J411" s="152"/>
      <c r="K411" s="152"/>
      <c r="L411" s="152"/>
      <c r="M411" s="152"/>
      <c r="N411" s="150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</row>
    <row r="412" customFormat="false" ht="11.25" hidden="false" customHeight="true" outlineLevel="0" collapsed="false">
      <c r="A412" s="89"/>
      <c r="B412" s="89"/>
      <c r="C412" s="89"/>
      <c r="D412" s="150"/>
      <c r="E412" s="152"/>
      <c r="F412" s="151"/>
      <c r="G412" s="151"/>
      <c r="H412" s="151"/>
      <c r="I412" s="151"/>
      <c r="J412" s="152"/>
      <c r="K412" s="152"/>
      <c r="L412" s="152"/>
      <c r="M412" s="152"/>
      <c r="N412" s="150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</row>
    <row r="413" customFormat="false" ht="11.25" hidden="false" customHeight="true" outlineLevel="0" collapsed="false">
      <c r="A413" s="89"/>
      <c r="B413" s="89"/>
      <c r="C413" s="89"/>
      <c r="D413" s="150"/>
      <c r="E413" s="152"/>
      <c r="F413" s="151"/>
      <c r="G413" s="151"/>
      <c r="H413" s="151"/>
      <c r="I413" s="151"/>
      <c r="J413" s="152"/>
      <c r="K413" s="152"/>
      <c r="L413" s="152"/>
      <c r="M413" s="152"/>
      <c r="N413" s="150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</row>
    <row r="414" customFormat="false" ht="11.25" hidden="false" customHeight="true" outlineLevel="0" collapsed="false">
      <c r="A414" s="89"/>
      <c r="B414" s="89"/>
      <c r="C414" s="89"/>
      <c r="D414" s="150"/>
      <c r="E414" s="152"/>
      <c r="F414" s="151"/>
      <c r="G414" s="151"/>
      <c r="H414" s="151"/>
      <c r="I414" s="151"/>
      <c r="J414" s="152"/>
      <c r="K414" s="152"/>
      <c r="L414" s="152"/>
      <c r="M414" s="152"/>
      <c r="N414" s="150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</row>
    <row r="415" customFormat="false" ht="11.25" hidden="false" customHeight="true" outlineLevel="0" collapsed="false">
      <c r="A415" s="89"/>
      <c r="B415" s="89"/>
      <c r="C415" s="89"/>
      <c r="D415" s="150"/>
      <c r="E415" s="152"/>
      <c r="F415" s="151"/>
      <c r="G415" s="151"/>
      <c r="H415" s="151"/>
      <c r="I415" s="151"/>
      <c r="J415" s="152"/>
      <c r="K415" s="152"/>
      <c r="L415" s="152"/>
      <c r="M415" s="152"/>
      <c r="N415" s="150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</row>
    <row r="416" customFormat="false" ht="11.25" hidden="false" customHeight="true" outlineLevel="0" collapsed="false">
      <c r="A416" s="89"/>
      <c r="B416" s="89"/>
      <c r="C416" s="89"/>
      <c r="D416" s="150"/>
      <c r="E416" s="152"/>
      <c r="F416" s="151"/>
      <c r="G416" s="151"/>
      <c r="H416" s="151"/>
      <c r="I416" s="151"/>
      <c r="J416" s="152"/>
      <c r="K416" s="152"/>
      <c r="L416" s="152"/>
      <c r="M416" s="152"/>
      <c r="N416" s="150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</row>
    <row r="417" customFormat="false" ht="11.25" hidden="false" customHeight="true" outlineLevel="0" collapsed="false">
      <c r="A417" s="89"/>
      <c r="B417" s="89"/>
      <c r="C417" s="89"/>
      <c r="D417" s="150"/>
      <c r="E417" s="152"/>
      <c r="F417" s="151"/>
      <c r="G417" s="151"/>
      <c r="H417" s="151"/>
      <c r="I417" s="151"/>
      <c r="J417" s="152"/>
      <c r="K417" s="152"/>
      <c r="L417" s="152"/>
      <c r="M417" s="152"/>
      <c r="N417" s="150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</row>
    <row r="418" customFormat="false" ht="11.25" hidden="false" customHeight="true" outlineLevel="0" collapsed="false">
      <c r="A418" s="89"/>
      <c r="B418" s="89"/>
      <c r="C418" s="89"/>
      <c r="D418" s="150"/>
      <c r="E418" s="152"/>
      <c r="F418" s="151"/>
      <c r="G418" s="151"/>
      <c r="H418" s="151"/>
      <c r="I418" s="151"/>
      <c r="J418" s="152"/>
      <c r="K418" s="152"/>
      <c r="L418" s="152"/>
      <c r="M418" s="152"/>
      <c r="N418" s="150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</row>
    <row r="419" customFormat="false" ht="11.25" hidden="false" customHeight="true" outlineLevel="0" collapsed="false">
      <c r="A419" s="89"/>
      <c r="B419" s="89"/>
      <c r="C419" s="89"/>
      <c r="D419" s="150"/>
      <c r="E419" s="152"/>
      <c r="F419" s="151"/>
      <c r="G419" s="151"/>
      <c r="H419" s="151"/>
      <c r="I419" s="151"/>
      <c r="J419" s="152"/>
      <c r="K419" s="152"/>
      <c r="L419" s="152"/>
      <c r="M419" s="152"/>
      <c r="N419" s="150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</row>
    <row r="420" customFormat="false" ht="11.25" hidden="false" customHeight="true" outlineLevel="0" collapsed="false">
      <c r="A420" s="89"/>
      <c r="B420" s="89"/>
      <c r="C420" s="89"/>
      <c r="D420" s="150"/>
      <c r="E420" s="152"/>
      <c r="F420" s="151"/>
      <c r="G420" s="151"/>
      <c r="H420" s="151"/>
      <c r="I420" s="151"/>
      <c r="J420" s="152"/>
      <c r="K420" s="152"/>
      <c r="L420" s="152"/>
      <c r="M420" s="152"/>
      <c r="N420" s="150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</row>
    <row r="421" customFormat="false" ht="11.25" hidden="false" customHeight="true" outlineLevel="0" collapsed="false">
      <c r="A421" s="89"/>
      <c r="B421" s="89"/>
      <c r="C421" s="89"/>
      <c r="D421" s="150"/>
      <c r="E421" s="152"/>
      <c r="F421" s="151"/>
      <c r="G421" s="151"/>
      <c r="H421" s="151"/>
      <c r="I421" s="151"/>
      <c r="J421" s="152"/>
      <c r="K421" s="152"/>
      <c r="L421" s="152"/>
      <c r="M421" s="152"/>
      <c r="N421" s="150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</row>
    <row r="422" customFormat="false" ht="11.25" hidden="false" customHeight="true" outlineLevel="0" collapsed="false">
      <c r="A422" s="89"/>
      <c r="B422" s="89"/>
      <c r="C422" s="89"/>
      <c r="D422" s="150"/>
      <c r="E422" s="152"/>
      <c r="F422" s="151"/>
      <c r="G422" s="151"/>
      <c r="H422" s="151"/>
      <c r="I422" s="151"/>
      <c r="J422" s="152"/>
      <c r="K422" s="152"/>
      <c r="L422" s="152"/>
      <c r="M422" s="152"/>
      <c r="N422" s="150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</row>
    <row r="423" customFormat="false" ht="11.25" hidden="false" customHeight="true" outlineLevel="0" collapsed="false">
      <c r="A423" s="89"/>
      <c r="B423" s="89"/>
      <c r="C423" s="89"/>
      <c r="D423" s="150"/>
      <c r="E423" s="152"/>
      <c r="F423" s="151"/>
      <c r="G423" s="151"/>
      <c r="H423" s="151"/>
      <c r="I423" s="151"/>
      <c r="J423" s="152"/>
      <c r="K423" s="152"/>
      <c r="L423" s="152"/>
      <c r="M423" s="152"/>
      <c r="N423" s="150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</row>
    <row r="424" customFormat="false" ht="11.25" hidden="false" customHeight="true" outlineLevel="0" collapsed="false">
      <c r="A424" s="89"/>
      <c r="B424" s="89"/>
      <c r="C424" s="89"/>
      <c r="D424" s="150"/>
      <c r="E424" s="152"/>
      <c r="F424" s="151"/>
      <c r="G424" s="151"/>
      <c r="H424" s="151"/>
      <c r="I424" s="151"/>
      <c r="J424" s="152"/>
      <c r="K424" s="152"/>
      <c r="L424" s="152"/>
      <c r="M424" s="152"/>
      <c r="N424" s="150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</row>
    <row r="425" customFormat="false" ht="11.25" hidden="false" customHeight="true" outlineLevel="0" collapsed="false">
      <c r="A425" s="89"/>
      <c r="B425" s="89"/>
      <c r="C425" s="89"/>
      <c r="D425" s="150"/>
      <c r="E425" s="152"/>
      <c r="F425" s="151"/>
      <c r="G425" s="151"/>
      <c r="H425" s="151"/>
      <c r="I425" s="151"/>
      <c r="J425" s="152"/>
      <c r="K425" s="152"/>
      <c r="L425" s="152"/>
      <c r="M425" s="152"/>
      <c r="N425" s="150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</row>
    <row r="426" customFormat="false" ht="11.25" hidden="false" customHeight="true" outlineLevel="0" collapsed="false">
      <c r="A426" s="89"/>
      <c r="B426" s="89"/>
      <c r="C426" s="89"/>
      <c r="D426" s="150"/>
      <c r="E426" s="152"/>
      <c r="F426" s="151"/>
      <c r="G426" s="151"/>
      <c r="H426" s="151"/>
      <c r="I426" s="151"/>
      <c r="J426" s="152"/>
      <c r="K426" s="152"/>
      <c r="L426" s="152"/>
      <c r="M426" s="152"/>
      <c r="N426" s="150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</row>
    <row r="427" customFormat="false" ht="11.25" hidden="false" customHeight="true" outlineLevel="0" collapsed="false">
      <c r="A427" s="89"/>
      <c r="B427" s="89"/>
      <c r="C427" s="89"/>
      <c r="D427" s="150"/>
      <c r="E427" s="152"/>
      <c r="F427" s="151"/>
      <c r="G427" s="151"/>
      <c r="H427" s="151"/>
      <c r="I427" s="151"/>
      <c r="J427" s="152"/>
      <c r="K427" s="152"/>
      <c r="L427" s="152"/>
      <c r="M427" s="152"/>
      <c r="N427" s="150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</row>
    <row r="428" customFormat="false" ht="11.25" hidden="false" customHeight="true" outlineLevel="0" collapsed="false">
      <c r="A428" s="89"/>
      <c r="B428" s="89"/>
      <c r="C428" s="89"/>
      <c r="D428" s="150"/>
      <c r="E428" s="152"/>
      <c r="F428" s="151"/>
      <c r="G428" s="151"/>
      <c r="H428" s="151"/>
      <c r="I428" s="151"/>
      <c r="J428" s="152"/>
      <c r="K428" s="152"/>
      <c r="L428" s="152"/>
      <c r="M428" s="152"/>
      <c r="N428" s="150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</row>
    <row r="429" customFormat="false" ht="11.25" hidden="false" customHeight="true" outlineLevel="0" collapsed="false">
      <c r="A429" s="89"/>
      <c r="B429" s="89"/>
      <c r="C429" s="89"/>
      <c r="D429" s="150"/>
      <c r="E429" s="152"/>
      <c r="F429" s="151"/>
      <c r="G429" s="151"/>
      <c r="H429" s="151"/>
      <c r="I429" s="151"/>
      <c r="J429" s="152"/>
      <c r="K429" s="152"/>
      <c r="L429" s="152"/>
      <c r="M429" s="152"/>
      <c r="N429" s="150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</row>
    <row r="430" customFormat="false" ht="11.25" hidden="false" customHeight="true" outlineLevel="0" collapsed="false">
      <c r="A430" s="89"/>
      <c r="B430" s="89"/>
      <c r="C430" s="89"/>
      <c r="D430" s="150"/>
      <c r="E430" s="152"/>
      <c r="F430" s="151"/>
      <c r="G430" s="151"/>
      <c r="H430" s="151"/>
      <c r="I430" s="151"/>
      <c r="J430" s="152"/>
      <c r="K430" s="152"/>
      <c r="L430" s="152"/>
      <c r="M430" s="152"/>
      <c r="N430" s="150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</row>
    <row r="431" customFormat="false" ht="11.25" hidden="false" customHeight="true" outlineLevel="0" collapsed="false">
      <c r="A431" s="89"/>
      <c r="B431" s="89"/>
      <c r="C431" s="89"/>
      <c r="D431" s="150"/>
      <c r="E431" s="152"/>
      <c r="F431" s="151"/>
      <c r="G431" s="151"/>
      <c r="H431" s="151"/>
      <c r="I431" s="151"/>
      <c r="J431" s="152"/>
      <c r="K431" s="152"/>
      <c r="L431" s="152"/>
      <c r="M431" s="152"/>
      <c r="N431" s="150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</row>
    <row r="432" customFormat="false" ht="11.25" hidden="false" customHeight="true" outlineLevel="0" collapsed="false">
      <c r="A432" s="89"/>
      <c r="B432" s="89"/>
      <c r="C432" s="89"/>
      <c r="D432" s="150"/>
      <c r="E432" s="152"/>
      <c r="F432" s="151"/>
      <c r="G432" s="151"/>
      <c r="H432" s="151"/>
      <c r="I432" s="151"/>
      <c r="J432" s="152"/>
      <c r="K432" s="152"/>
      <c r="L432" s="152"/>
      <c r="M432" s="152"/>
      <c r="N432" s="150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</row>
    <row r="433" customFormat="false" ht="11.25" hidden="false" customHeight="true" outlineLevel="0" collapsed="false">
      <c r="A433" s="89"/>
      <c r="B433" s="89"/>
      <c r="C433" s="89"/>
      <c r="D433" s="150"/>
      <c r="E433" s="152"/>
      <c r="F433" s="151"/>
      <c r="G433" s="151"/>
      <c r="H433" s="151"/>
      <c r="I433" s="151"/>
      <c r="J433" s="152"/>
      <c r="K433" s="152"/>
      <c r="L433" s="152"/>
      <c r="M433" s="152"/>
      <c r="N433" s="150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</row>
    <row r="434" customFormat="false" ht="11.25" hidden="false" customHeight="true" outlineLevel="0" collapsed="false">
      <c r="A434" s="89"/>
      <c r="B434" s="89"/>
      <c r="C434" s="89"/>
      <c r="D434" s="150"/>
      <c r="E434" s="152"/>
      <c r="F434" s="151"/>
      <c r="G434" s="151"/>
      <c r="H434" s="151"/>
      <c r="I434" s="151"/>
      <c r="J434" s="152"/>
      <c r="K434" s="152"/>
      <c r="L434" s="152"/>
      <c r="M434" s="152"/>
      <c r="N434" s="150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</row>
    <row r="435" customFormat="false" ht="11.25" hidden="false" customHeight="true" outlineLevel="0" collapsed="false">
      <c r="A435" s="89"/>
      <c r="B435" s="89"/>
      <c r="C435" s="89"/>
      <c r="D435" s="150"/>
      <c r="E435" s="152"/>
      <c r="F435" s="151"/>
      <c r="G435" s="151"/>
      <c r="H435" s="151"/>
      <c r="I435" s="151"/>
      <c r="J435" s="152"/>
      <c r="K435" s="152"/>
      <c r="L435" s="152"/>
      <c r="M435" s="152"/>
      <c r="N435" s="150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</row>
    <row r="436" customFormat="false" ht="11.25" hidden="false" customHeight="true" outlineLevel="0" collapsed="false">
      <c r="A436" s="89"/>
      <c r="B436" s="89"/>
      <c r="C436" s="89"/>
      <c r="D436" s="150"/>
      <c r="E436" s="152"/>
      <c r="F436" s="151"/>
      <c r="G436" s="151"/>
      <c r="H436" s="151"/>
      <c r="I436" s="151"/>
      <c r="J436" s="152"/>
      <c r="K436" s="152"/>
      <c r="L436" s="152"/>
      <c r="M436" s="152"/>
      <c r="N436" s="150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</row>
    <row r="437" customFormat="false" ht="11.25" hidden="false" customHeight="true" outlineLevel="0" collapsed="false">
      <c r="A437" s="89"/>
      <c r="B437" s="89"/>
      <c r="C437" s="89"/>
      <c r="D437" s="150"/>
      <c r="E437" s="152"/>
      <c r="F437" s="151"/>
      <c r="G437" s="151"/>
      <c r="H437" s="151"/>
      <c r="I437" s="151"/>
      <c r="J437" s="152"/>
      <c r="K437" s="152"/>
      <c r="L437" s="152"/>
      <c r="M437" s="152"/>
      <c r="N437" s="150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</row>
    <row r="438" customFormat="false" ht="11.25" hidden="false" customHeight="true" outlineLevel="0" collapsed="false">
      <c r="A438" s="89"/>
      <c r="B438" s="89"/>
      <c r="C438" s="89"/>
      <c r="D438" s="150"/>
      <c r="E438" s="152"/>
      <c r="F438" s="151"/>
      <c r="G438" s="151"/>
      <c r="H438" s="151"/>
      <c r="I438" s="151"/>
      <c r="J438" s="152"/>
      <c r="K438" s="152"/>
      <c r="L438" s="152"/>
      <c r="M438" s="152"/>
      <c r="N438" s="150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</row>
    <row r="439" customFormat="false" ht="11.25" hidden="false" customHeight="true" outlineLevel="0" collapsed="false">
      <c r="A439" s="89"/>
      <c r="B439" s="89"/>
      <c r="C439" s="89"/>
      <c r="D439" s="150"/>
      <c r="E439" s="152"/>
      <c r="F439" s="151"/>
      <c r="G439" s="151"/>
      <c r="H439" s="151"/>
      <c r="I439" s="151"/>
      <c r="J439" s="152"/>
      <c r="K439" s="152"/>
      <c r="L439" s="152"/>
      <c r="M439" s="152"/>
      <c r="N439" s="150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</row>
    <row r="440" customFormat="false" ht="11.25" hidden="false" customHeight="true" outlineLevel="0" collapsed="false">
      <c r="A440" s="89"/>
      <c r="B440" s="89"/>
      <c r="C440" s="89"/>
      <c r="D440" s="150"/>
      <c r="E440" s="152"/>
      <c r="F440" s="151"/>
      <c r="G440" s="151"/>
      <c r="H440" s="151"/>
      <c r="I440" s="151"/>
      <c r="J440" s="152"/>
      <c r="K440" s="152"/>
      <c r="L440" s="152"/>
      <c r="M440" s="152"/>
      <c r="N440" s="150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</row>
    <row r="441" customFormat="false" ht="11.25" hidden="false" customHeight="true" outlineLevel="0" collapsed="false">
      <c r="A441" s="89"/>
      <c r="B441" s="89"/>
      <c r="C441" s="89"/>
      <c r="D441" s="150"/>
      <c r="E441" s="152"/>
      <c r="F441" s="151"/>
      <c r="G441" s="151"/>
      <c r="H441" s="151"/>
      <c r="I441" s="151"/>
      <c r="J441" s="152"/>
      <c r="K441" s="152"/>
      <c r="L441" s="152"/>
      <c r="M441" s="152"/>
      <c r="N441" s="150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</row>
    <row r="442" customFormat="false" ht="11.25" hidden="false" customHeight="true" outlineLevel="0" collapsed="false">
      <c r="A442" s="89"/>
      <c r="B442" s="89"/>
      <c r="C442" s="89"/>
      <c r="D442" s="150"/>
      <c r="E442" s="152"/>
      <c r="F442" s="151"/>
      <c r="G442" s="151"/>
      <c r="H442" s="151"/>
      <c r="I442" s="151"/>
      <c r="J442" s="152"/>
      <c r="K442" s="152"/>
      <c r="L442" s="152"/>
      <c r="M442" s="152"/>
      <c r="N442" s="150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</row>
    <row r="443" customFormat="false" ht="11.25" hidden="false" customHeight="true" outlineLevel="0" collapsed="false">
      <c r="A443" s="89"/>
      <c r="B443" s="89"/>
      <c r="C443" s="89"/>
      <c r="D443" s="150"/>
      <c r="E443" s="152"/>
      <c r="F443" s="151"/>
      <c r="G443" s="151"/>
      <c r="H443" s="151"/>
      <c r="I443" s="151"/>
      <c r="J443" s="152"/>
      <c r="K443" s="152"/>
      <c r="L443" s="152"/>
      <c r="M443" s="152"/>
      <c r="N443" s="150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</row>
    <row r="444" customFormat="false" ht="11.25" hidden="false" customHeight="true" outlineLevel="0" collapsed="false">
      <c r="A444" s="89"/>
      <c r="B444" s="89"/>
      <c r="C444" s="89"/>
      <c r="D444" s="150"/>
      <c r="E444" s="152"/>
      <c r="F444" s="151"/>
      <c r="G444" s="151"/>
      <c r="H444" s="151"/>
      <c r="I444" s="151"/>
      <c r="J444" s="152"/>
      <c r="K444" s="152"/>
      <c r="L444" s="152"/>
      <c r="M444" s="152"/>
      <c r="N444" s="150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</row>
    <row r="445" customFormat="false" ht="11.25" hidden="false" customHeight="true" outlineLevel="0" collapsed="false">
      <c r="A445" s="89"/>
      <c r="B445" s="89"/>
      <c r="C445" s="89"/>
      <c r="D445" s="150"/>
      <c r="E445" s="152"/>
      <c r="F445" s="151"/>
      <c r="G445" s="151"/>
      <c r="H445" s="151"/>
      <c r="I445" s="151"/>
      <c r="J445" s="152"/>
      <c r="K445" s="152"/>
      <c r="L445" s="152"/>
      <c r="M445" s="152"/>
      <c r="N445" s="150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</row>
    <row r="446" customFormat="false" ht="11.25" hidden="false" customHeight="true" outlineLevel="0" collapsed="false">
      <c r="A446" s="89"/>
      <c r="B446" s="89"/>
      <c r="C446" s="89"/>
      <c r="D446" s="150"/>
      <c r="E446" s="152"/>
      <c r="F446" s="151"/>
      <c r="G446" s="151"/>
      <c r="H446" s="151"/>
      <c r="I446" s="151"/>
      <c r="J446" s="152"/>
      <c r="K446" s="152"/>
      <c r="L446" s="152"/>
      <c r="M446" s="152"/>
      <c r="N446" s="150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</row>
    <row r="447" customFormat="false" ht="11.25" hidden="false" customHeight="true" outlineLevel="0" collapsed="false">
      <c r="A447" s="89"/>
      <c r="B447" s="89"/>
      <c r="C447" s="89"/>
      <c r="D447" s="150"/>
      <c r="E447" s="152"/>
      <c r="F447" s="151"/>
      <c r="G447" s="151"/>
      <c r="H447" s="151"/>
      <c r="I447" s="151"/>
      <c r="J447" s="152"/>
      <c r="K447" s="152"/>
      <c r="L447" s="152"/>
      <c r="M447" s="152"/>
      <c r="N447" s="150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</row>
    <row r="448" customFormat="false" ht="11.25" hidden="false" customHeight="true" outlineLevel="0" collapsed="false">
      <c r="A448" s="89"/>
      <c r="B448" s="89"/>
      <c r="C448" s="89"/>
      <c r="D448" s="150"/>
      <c r="E448" s="152"/>
      <c r="F448" s="151"/>
      <c r="G448" s="151"/>
      <c r="H448" s="151"/>
      <c r="I448" s="151"/>
      <c r="J448" s="152"/>
      <c r="K448" s="152"/>
      <c r="L448" s="152"/>
      <c r="M448" s="152"/>
      <c r="N448" s="150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</row>
    <row r="449" customFormat="false" ht="11.25" hidden="false" customHeight="true" outlineLevel="0" collapsed="false">
      <c r="A449" s="89"/>
      <c r="B449" s="89"/>
      <c r="C449" s="89"/>
      <c r="D449" s="150"/>
      <c r="E449" s="152"/>
      <c r="F449" s="151"/>
      <c r="G449" s="151"/>
      <c r="H449" s="151"/>
      <c r="I449" s="151"/>
      <c r="J449" s="152"/>
      <c r="K449" s="152"/>
      <c r="L449" s="152"/>
      <c r="M449" s="152"/>
      <c r="N449" s="150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</row>
    <row r="450" customFormat="false" ht="11.25" hidden="false" customHeight="true" outlineLevel="0" collapsed="false">
      <c r="A450" s="89"/>
      <c r="B450" s="89"/>
      <c r="C450" s="89"/>
      <c r="D450" s="150"/>
      <c r="E450" s="152"/>
      <c r="F450" s="151"/>
      <c r="G450" s="151"/>
      <c r="H450" s="151"/>
      <c r="I450" s="151"/>
      <c r="J450" s="152"/>
      <c r="K450" s="152"/>
      <c r="L450" s="152"/>
      <c r="M450" s="152"/>
      <c r="N450" s="150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</row>
    <row r="451" customFormat="false" ht="11.25" hidden="false" customHeight="true" outlineLevel="0" collapsed="false">
      <c r="A451" s="89"/>
      <c r="B451" s="89"/>
      <c r="C451" s="89"/>
      <c r="D451" s="150"/>
      <c r="E451" s="152"/>
      <c r="F451" s="151"/>
      <c r="G451" s="151"/>
      <c r="H451" s="151"/>
      <c r="I451" s="151"/>
      <c r="J451" s="152"/>
      <c r="K451" s="152"/>
      <c r="L451" s="152"/>
      <c r="M451" s="152"/>
      <c r="N451" s="150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</row>
    <row r="452" customFormat="false" ht="11.25" hidden="false" customHeight="true" outlineLevel="0" collapsed="false">
      <c r="A452" s="89"/>
      <c r="B452" s="89"/>
      <c r="C452" s="89"/>
      <c r="D452" s="150"/>
      <c r="E452" s="152"/>
      <c r="F452" s="151"/>
      <c r="G452" s="151"/>
      <c r="H452" s="151"/>
      <c r="I452" s="151"/>
      <c r="J452" s="152"/>
      <c r="K452" s="152"/>
      <c r="L452" s="152"/>
      <c r="M452" s="152"/>
      <c r="N452" s="150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</row>
    <row r="453" customFormat="false" ht="11.25" hidden="false" customHeight="true" outlineLevel="0" collapsed="false">
      <c r="A453" s="89"/>
      <c r="B453" s="89"/>
      <c r="C453" s="89"/>
      <c r="D453" s="150"/>
      <c r="E453" s="152"/>
      <c r="F453" s="151"/>
      <c r="G453" s="151"/>
      <c r="H453" s="151"/>
      <c r="I453" s="151"/>
      <c r="J453" s="152"/>
      <c r="K453" s="152"/>
      <c r="L453" s="152"/>
      <c r="M453" s="152"/>
      <c r="N453" s="150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</row>
    <row r="454" customFormat="false" ht="11.25" hidden="false" customHeight="true" outlineLevel="0" collapsed="false">
      <c r="A454" s="89"/>
      <c r="B454" s="89"/>
      <c r="C454" s="89"/>
      <c r="D454" s="150"/>
      <c r="E454" s="152"/>
      <c r="F454" s="151"/>
      <c r="G454" s="151"/>
      <c r="H454" s="151"/>
      <c r="I454" s="151"/>
      <c r="J454" s="152"/>
      <c r="K454" s="152"/>
      <c r="L454" s="152"/>
      <c r="M454" s="152"/>
      <c r="N454" s="150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</row>
    <row r="455" customFormat="false" ht="11.25" hidden="false" customHeight="true" outlineLevel="0" collapsed="false">
      <c r="A455" s="89"/>
      <c r="B455" s="89"/>
      <c r="C455" s="89"/>
      <c r="D455" s="150"/>
      <c r="E455" s="152"/>
      <c r="F455" s="151"/>
      <c r="G455" s="151"/>
      <c r="H455" s="151"/>
      <c r="I455" s="151"/>
      <c r="J455" s="152"/>
      <c r="K455" s="152"/>
      <c r="L455" s="152"/>
      <c r="M455" s="152"/>
      <c r="N455" s="150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</row>
    <row r="456" customFormat="false" ht="11.25" hidden="false" customHeight="true" outlineLevel="0" collapsed="false">
      <c r="A456" s="89"/>
      <c r="B456" s="89"/>
      <c r="C456" s="89"/>
      <c r="D456" s="150"/>
      <c r="E456" s="152"/>
      <c r="F456" s="151"/>
      <c r="G456" s="151"/>
      <c r="H456" s="151"/>
      <c r="I456" s="151"/>
      <c r="J456" s="152"/>
      <c r="K456" s="152"/>
      <c r="L456" s="152"/>
      <c r="M456" s="152"/>
      <c r="N456" s="150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</row>
    <row r="457" customFormat="false" ht="11.25" hidden="false" customHeight="true" outlineLevel="0" collapsed="false">
      <c r="A457" s="89"/>
      <c r="B457" s="89"/>
      <c r="C457" s="89"/>
      <c r="D457" s="150"/>
      <c r="E457" s="152"/>
      <c r="F457" s="151"/>
      <c r="G457" s="151"/>
      <c r="H457" s="151"/>
      <c r="I457" s="151"/>
      <c r="J457" s="152"/>
      <c r="K457" s="152"/>
      <c r="L457" s="152"/>
      <c r="M457" s="152"/>
      <c r="N457" s="150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</row>
    <row r="458" customFormat="false" ht="11.25" hidden="false" customHeight="true" outlineLevel="0" collapsed="false">
      <c r="A458" s="89"/>
      <c r="B458" s="89"/>
      <c r="C458" s="89"/>
      <c r="D458" s="150"/>
      <c r="E458" s="152"/>
      <c r="F458" s="151"/>
      <c r="G458" s="151"/>
      <c r="H458" s="151"/>
      <c r="I458" s="151"/>
      <c r="J458" s="152"/>
      <c r="K458" s="152"/>
      <c r="L458" s="152"/>
      <c r="M458" s="152"/>
      <c r="N458" s="150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</row>
    <row r="459" customFormat="false" ht="11.25" hidden="false" customHeight="true" outlineLevel="0" collapsed="false">
      <c r="A459" s="89"/>
      <c r="B459" s="89"/>
      <c r="C459" s="89"/>
      <c r="D459" s="150"/>
      <c r="E459" s="152"/>
      <c r="F459" s="151"/>
      <c r="G459" s="151"/>
      <c r="H459" s="151"/>
      <c r="I459" s="151"/>
      <c r="J459" s="152"/>
      <c r="K459" s="152"/>
      <c r="L459" s="152"/>
      <c r="M459" s="152"/>
      <c r="N459" s="150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</row>
    <row r="460" customFormat="false" ht="11.25" hidden="false" customHeight="true" outlineLevel="0" collapsed="false">
      <c r="A460" s="89"/>
      <c r="B460" s="89"/>
      <c r="C460" s="89"/>
      <c r="D460" s="150"/>
      <c r="E460" s="152"/>
      <c r="F460" s="151"/>
      <c r="G460" s="151"/>
      <c r="H460" s="151"/>
      <c r="I460" s="151"/>
      <c r="J460" s="152"/>
      <c r="K460" s="152"/>
      <c r="L460" s="152"/>
      <c r="M460" s="152"/>
      <c r="N460" s="150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</row>
    <row r="461" customFormat="false" ht="11.25" hidden="false" customHeight="true" outlineLevel="0" collapsed="false">
      <c r="A461" s="89"/>
      <c r="B461" s="89"/>
      <c r="C461" s="89"/>
      <c r="D461" s="150"/>
      <c r="E461" s="152"/>
      <c r="F461" s="151"/>
      <c r="G461" s="151"/>
      <c r="H461" s="151"/>
      <c r="I461" s="151"/>
      <c r="J461" s="152"/>
      <c r="K461" s="152"/>
      <c r="L461" s="152"/>
      <c r="M461" s="152"/>
      <c r="N461" s="150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</row>
    <row r="462" customFormat="false" ht="11.25" hidden="false" customHeight="true" outlineLevel="0" collapsed="false">
      <c r="A462" s="89"/>
      <c r="B462" s="89"/>
      <c r="C462" s="89"/>
      <c r="D462" s="150"/>
      <c r="E462" s="152"/>
      <c r="F462" s="151"/>
      <c r="G462" s="151"/>
      <c r="H462" s="151"/>
      <c r="I462" s="151"/>
      <c r="J462" s="152"/>
      <c r="K462" s="152"/>
      <c r="L462" s="152"/>
      <c r="M462" s="152"/>
      <c r="N462" s="150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</row>
    <row r="463" customFormat="false" ht="11.25" hidden="false" customHeight="true" outlineLevel="0" collapsed="false">
      <c r="A463" s="89"/>
      <c r="B463" s="89"/>
      <c r="C463" s="89"/>
      <c r="D463" s="150"/>
      <c r="E463" s="152"/>
      <c r="F463" s="151"/>
      <c r="G463" s="151"/>
      <c r="H463" s="151"/>
      <c r="I463" s="151"/>
      <c r="J463" s="152"/>
      <c r="K463" s="152"/>
      <c r="L463" s="152"/>
      <c r="M463" s="152"/>
      <c r="N463" s="150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</row>
    <row r="464" customFormat="false" ht="11.25" hidden="false" customHeight="true" outlineLevel="0" collapsed="false">
      <c r="A464" s="89"/>
      <c r="B464" s="89"/>
      <c r="C464" s="89"/>
      <c r="D464" s="150"/>
      <c r="E464" s="152"/>
      <c r="F464" s="151"/>
      <c r="G464" s="151"/>
      <c r="H464" s="151"/>
      <c r="I464" s="151"/>
      <c r="J464" s="152"/>
      <c r="K464" s="152"/>
      <c r="L464" s="152"/>
      <c r="M464" s="152"/>
      <c r="N464" s="150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</row>
    <row r="465" customFormat="false" ht="11.25" hidden="false" customHeight="true" outlineLevel="0" collapsed="false">
      <c r="A465" s="89"/>
      <c r="B465" s="89"/>
      <c r="C465" s="89"/>
      <c r="D465" s="150"/>
      <c r="E465" s="152"/>
      <c r="F465" s="151"/>
      <c r="G465" s="151"/>
      <c r="H465" s="151"/>
      <c r="I465" s="151"/>
      <c r="J465" s="152"/>
      <c r="K465" s="152"/>
      <c r="L465" s="152"/>
      <c r="M465" s="152"/>
      <c r="N465" s="150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</row>
    <row r="466" customFormat="false" ht="11.25" hidden="false" customHeight="true" outlineLevel="0" collapsed="false">
      <c r="A466" s="89"/>
      <c r="B466" s="89"/>
      <c r="C466" s="89"/>
      <c r="D466" s="150"/>
      <c r="E466" s="152"/>
      <c r="F466" s="151"/>
      <c r="G466" s="151"/>
      <c r="H466" s="151"/>
      <c r="I466" s="151"/>
      <c r="J466" s="152"/>
      <c r="K466" s="152"/>
      <c r="L466" s="152"/>
      <c r="M466" s="152"/>
      <c r="N466" s="150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</row>
    <row r="467" customFormat="false" ht="11.25" hidden="false" customHeight="true" outlineLevel="0" collapsed="false">
      <c r="A467" s="89"/>
      <c r="B467" s="89"/>
      <c r="C467" s="89"/>
      <c r="D467" s="150"/>
      <c r="E467" s="152"/>
      <c r="F467" s="151"/>
      <c r="G467" s="151"/>
      <c r="H467" s="151"/>
      <c r="I467" s="151"/>
      <c r="J467" s="152"/>
      <c r="K467" s="152"/>
      <c r="L467" s="152"/>
      <c r="M467" s="152"/>
      <c r="N467" s="150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</row>
    <row r="468" customFormat="false" ht="11.25" hidden="false" customHeight="true" outlineLevel="0" collapsed="false">
      <c r="A468" s="89"/>
      <c r="B468" s="89"/>
      <c r="C468" s="89"/>
      <c r="D468" s="150"/>
      <c r="E468" s="152"/>
      <c r="F468" s="151"/>
      <c r="G468" s="151"/>
      <c r="H468" s="151"/>
      <c r="I468" s="151"/>
      <c r="J468" s="152"/>
      <c r="K468" s="152"/>
      <c r="L468" s="152"/>
      <c r="M468" s="152"/>
      <c r="N468" s="150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</row>
    <row r="469" customFormat="false" ht="11.25" hidden="false" customHeight="true" outlineLevel="0" collapsed="false">
      <c r="A469" s="89"/>
      <c r="B469" s="89"/>
      <c r="C469" s="89"/>
      <c r="D469" s="150"/>
      <c r="E469" s="152"/>
      <c r="F469" s="151"/>
      <c r="G469" s="151"/>
      <c r="H469" s="151"/>
      <c r="I469" s="151"/>
      <c r="J469" s="152"/>
      <c r="K469" s="152"/>
      <c r="L469" s="152"/>
      <c r="M469" s="152"/>
      <c r="N469" s="150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</row>
    <row r="470" customFormat="false" ht="11.25" hidden="false" customHeight="true" outlineLevel="0" collapsed="false">
      <c r="A470" s="89"/>
      <c r="B470" s="89"/>
      <c r="C470" s="89"/>
      <c r="D470" s="150"/>
      <c r="E470" s="152"/>
      <c r="F470" s="151"/>
      <c r="G470" s="151"/>
      <c r="H470" s="151"/>
      <c r="I470" s="151"/>
      <c r="J470" s="152"/>
      <c r="K470" s="152"/>
      <c r="L470" s="152"/>
      <c r="M470" s="152"/>
      <c r="N470" s="150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</row>
    <row r="471" customFormat="false" ht="11.25" hidden="false" customHeight="true" outlineLevel="0" collapsed="false">
      <c r="A471" s="89"/>
      <c r="B471" s="89"/>
      <c r="C471" s="89"/>
      <c r="D471" s="150"/>
      <c r="E471" s="152"/>
      <c r="F471" s="151"/>
      <c r="G471" s="151"/>
      <c r="H471" s="151"/>
      <c r="I471" s="151"/>
      <c r="J471" s="152"/>
      <c r="K471" s="152"/>
      <c r="L471" s="152"/>
      <c r="M471" s="152"/>
      <c r="N471" s="150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</row>
    <row r="472" customFormat="false" ht="11.25" hidden="false" customHeight="true" outlineLevel="0" collapsed="false">
      <c r="A472" s="89"/>
      <c r="B472" s="89"/>
      <c r="C472" s="89"/>
      <c r="D472" s="150"/>
      <c r="E472" s="152"/>
      <c r="F472" s="151"/>
      <c r="G472" s="151"/>
      <c r="H472" s="151"/>
      <c r="I472" s="151"/>
      <c r="J472" s="152"/>
      <c r="K472" s="152"/>
      <c r="L472" s="152"/>
      <c r="M472" s="152"/>
      <c r="N472" s="150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</row>
    <row r="473" customFormat="false" ht="11.25" hidden="false" customHeight="true" outlineLevel="0" collapsed="false">
      <c r="A473" s="89"/>
      <c r="B473" s="89"/>
      <c r="C473" s="89"/>
      <c r="D473" s="150"/>
      <c r="E473" s="152"/>
      <c r="F473" s="151"/>
      <c r="G473" s="151"/>
      <c r="H473" s="151"/>
      <c r="I473" s="151"/>
      <c r="J473" s="152"/>
      <c r="K473" s="152"/>
      <c r="L473" s="152"/>
      <c r="M473" s="152"/>
      <c r="N473" s="150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</row>
    <row r="474" customFormat="false" ht="11.25" hidden="false" customHeight="true" outlineLevel="0" collapsed="false">
      <c r="A474" s="89"/>
      <c r="B474" s="89"/>
      <c r="C474" s="89"/>
      <c r="D474" s="150"/>
      <c r="E474" s="152"/>
      <c r="F474" s="151"/>
      <c r="G474" s="151"/>
      <c r="H474" s="151"/>
      <c r="I474" s="151"/>
      <c r="J474" s="152"/>
      <c r="K474" s="152"/>
      <c r="L474" s="152"/>
      <c r="M474" s="152"/>
      <c r="N474" s="150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</row>
    <row r="475" customFormat="false" ht="11.25" hidden="false" customHeight="true" outlineLevel="0" collapsed="false">
      <c r="A475" s="89"/>
      <c r="B475" s="89"/>
      <c r="C475" s="89"/>
      <c r="D475" s="150"/>
      <c r="E475" s="152"/>
      <c r="F475" s="151"/>
      <c r="G475" s="151"/>
      <c r="H475" s="151"/>
      <c r="I475" s="151"/>
      <c r="J475" s="152"/>
      <c r="K475" s="152"/>
      <c r="L475" s="152"/>
      <c r="M475" s="152"/>
      <c r="N475" s="150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</row>
    <row r="476" customFormat="false" ht="11.25" hidden="false" customHeight="true" outlineLevel="0" collapsed="false">
      <c r="A476" s="89"/>
      <c r="B476" s="89"/>
      <c r="C476" s="89"/>
      <c r="D476" s="150"/>
      <c r="E476" s="152"/>
      <c r="F476" s="151"/>
      <c r="G476" s="151"/>
      <c r="H476" s="151"/>
      <c r="I476" s="151"/>
      <c r="J476" s="152"/>
      <c r="K476" s="152"/>
      <c r="L476" s="152"/>
      <c r="M476" s="152"/>
      <c r="N476" s="150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</row>
    <row r="477" customFormat="false" ht="11.25" hidden="false" customHeight="true" outlineLevel="0" collapsed="false">
      <c r="A477" s="89"/>
      <c r="B477" s="89"/>
      <c r="C477" s="89"/>
      <c r="D477" s="150"/>
      <c r="E477" s="152"/>
      <c r="F477" s="151"/>
      <c r="G477" s="151"/>
      <c r="H477" s="151"/>
      <c r="I477" s="151"/>
      <c r="J477" s="152"/>
      <c r="K477" s="152"/>
      <c r="L477" s="152"/>
      <c r="M477" s="152"/>
      <c r="N477" s="150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</row>
    <row r="478" customFormat="false" ht="11.25" hidden="false" customHeight="true" outlineLevel="0" collapsed="false">
      <c r="A478" s="89"/>
      <c r="B478" s="89"/>
      <c r="C478" s="89"/>
      <c r="D478" s="150"/>
      <c r="E478" s="152"/>
      <c r="F478" s="151"/>
      <c r="G478" s="151"/>
      <c r="H478" s="151"/>
      <c r="I478" s="151"/>
      <c r="J478" s="152"/>
      <c r="K478" s="152"/>
      <c r="L478" s="152"/>
      <c r="M478" s="152"/>
      <c r="N478" s="150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</row>
    <row r="479" customFormat="false" ht="11.25" hidden="false" customHeight="true" outlineLevel="0" collapsed="false">
      <c r="A479" s="89"/>
      <c r="B479" s="89"/>
      <c r="C479" s="89"/>
      <c r="D479" s="150"/>
      <c r="E479" s="152"/>
      <c r="F479" s="151"/>
      <c r="G479" s="151"/>
      <c r="H479" s="151"/>
      <c r="I479" s="151"/>
      <c r="J479" s="152"/>
      <c r="K479" s="152"/>
      <c r="L479" s="152"/>
      <c r="M479" s="152"/>
      <c r="N479" s="150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</row>
    <row r="480" customFormat="false" ht="11.25" hidden="false" customHeight="true" outlineLevel="0" collapsed="false">
      <c r="A480" s="89"/>
      <c r="B480" s="89"/>
      <c r="C480" s="89"/>
      <c r="D480" s="150"/>
      <c r="E480" s="152"/>
      <c r="F480" s="151"/>
      <c r="G480" s="151"/>
      <c r="H480" s="151"/>
      <c r="I480" s="151"/>
      <c r="J480" s="152"/>
      <c r="K480" s="152"/>
      <c r="L480" s="152"/>
      <c r="M480" s="152"/>
      <c r="N480" s="150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</row>
    <row r="481" customFormat="false" ht="11.25" hidden="false" customHeight="true" outlineLevel="0" collapsed="false">
      <c r="A481" s="89"/>
      <c r="B481" s="89"/>
      <c r="C481" s="89"/>
      <c r="D481" s="150"/>
      <c r="E481" s="152"/>
      <c r="F481" s="151"/>
      <c r="G481" s="151"/>
      <c r="H481" s="151"/>
      <c r="I481" s="151"/>
      <c r="J481" s="152"/>
      <c r="K481" s="152"/>
      <c r="L481" s="152"/>
      <c r="M481" s="152"/>
      <c r="N481" s="150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</row>
    <row r="482" customFormat="false" ht="11.25" hidden="false" customHeight="true" outlineLevel="0" collapsed="false">
      <c r="A482" s="89"/>
      <c r="B482" s="89"/>
      <c r="C482" s="89"/>
      <c r="D482" s="150"/>
      <c r="E482" s="152"/>
      <c r="F482" s="151"/>
      <c r="G482" s="151"/>
      <c r="H482" s="151"/>
      <c r="I482" s="151"/>
      <c r="J482" s="152"/>
      <c r="K482" s="152"/>
      <c r="L482" s="152"/>
      <c r="M482" s="152"/>
      <c r="N482" s="150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</row>
    <row r="483" customFormat="false" ht="11.25" hidden="false" customHeight="true" outlineLevel="0" collapsed="false">
      <c r="A483" s="89"/>
      <c r="B483" s="89"/>
      <c r="C483" s="89"/>
      <c r="D483" s="150"/>
      <c r="E483" s="152"/>
      <c r="F483" s="151"/>
      <c r="G483" s="151"/>
      <c r="H483" s="151"/>
      <c r="I483" s="151"/>
      <c r="J483" s="152"/>
      <c r="K483" s="152"/>
      <c r="L483" s="152"/>
      <c r="M483" s="152"/>
      <c r="N483" s="150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</row>
    <row r="484" customFormat="false" ht="11.25" hidden="false" customHeight="true" outlineLevel="0" collapsed="false">
      <c r="A484" s="89"/>
      <c r="B484" s="89"/>
      <c r="C484" s="89"/>
      <c r="D484" s="150"/>
      <c r="E484" s="152"/>
      <c r="F484" s="151"/>
      <c r="G484" s="151"/>
      <c r="H484" s="151"/>
      <c r="I484" s="151"/>
      <c r="J484" s="152"/>
      <c r="K484" s="152"/>
      <c r="L484" s="152"/>
      <c r="M484" s="152"/>
      <c r="N484" s="150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</row>
    <row r="485" customFormat="false" ht="11.25" hidden="false" customHeight="true" outlineLevel="0" collapsed="false">
      <c r="A485" s="89"/>
      <c r="B485" s="89"/>
      <c r="C485" s="89"/>
      <c r="D485" s="150"/>
      <c r="E485" s="152"/>
      <c r="F485" s="151"/>
      <c r="G485" s="151"/>
      <c r="H485" s="151"/>
      <c r="I485" s="151"/>
      <c r="J485" s="152"/>
      <c r="K485" s="152"/>
      <c r="L485" s="152"/>
      <c r="M485" s="152"/>
      <c r="N485" s="150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</row>
    <row r="486" customFormat="false" ht="11.25" hidden="false" customHeight="true" outlineLevel="0" collapsed="false">
      <c r="A486" s="89"/>
      <c r="B486" s="89"/>
      <c r="C486" s="89"/>
      <c r="D486" s="150"/>
      <c r="E486" s="152"/>
      <c r="F486" s="151"/>
      <c r="G486" s="151"/>
      <c r="H486" s="151"/>
      <c r="I486" s="151"/>
      <c r="J486" s="152"/>
      <c r="K486" s="152"/>
      <c r="L486" s="152"/>
      <c r="M486" s="152"/>
      <c r="N486" s="150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</row>
    <row r="487" customFormat="false" ht="11.25" hidden="false" customHeight="true" outlineLevel="0" collapsed="false">
      <c r="A487" s="89"/>
      <c r="B487" s="89"/>
      <c r="C487" s="89"/>
      <c r="D487" s="150"/>
      <c r="E487" s="152"/>
      <c r="F487" s="151"/>
      <c r="G487" s="151"/>
      <c r="H487" s="151"/>
      <c r="I487" s="151"/>
      <c r="J487" s="152"/>
      <c r="K487" s="152"/>
      <c r="L487" s="152"/>
      <c r="M487" s="152"/>
      <c r="N487" s="150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</row>
    <row r="488" customFormat="false" ht="11.25" hidden="false" customHeight="true" outlineLevel="0" collapsed="false">
      <c r="A488" s="89"/>
      <c r="B488" s="89"/>
      <c r="C488" s="89"/>
      <c r="D488" s="150"/>
      <c r="E488" s="152"/>
      <c r="F488" s="151"/>
      <c r="G488" s="151"/>
      <c r="H488" s="151"/>
      <c r="I488" s="151"/>
      <c r="J488" s="152"/>
      <c r="K488" s="152"/>
      <c r="L488" s="152"/>
      <c r="M488" s="152"/>
      <c r="N488" s="150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</row>
    <row r="489" customFormat="false" ht="11.25" hidden="false" customHeight="true" outlineLevel="0" collapsed="false">
      <c r="A489" s="89"/>
      <c r="B489" s="89"/>
      <c r="C489" s="89"/>
      <c r="D489" s="150"/>
      <c r="E489" s="152"/>
      <c r="F489" s="151"/>
      <c r="G489" s="151"/>
      <c r="H489" s="151"/>
      <c r="I489" s="151"/>
      <c r="J489" s="152"/>
      <c r="K489" s="152"/>
      <c r="L489" s="152"/>
      <c r="M489" s="152"/>
      <c r="N489" s="150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</row>
    <row r="490" customFormat="false" ht="11.25" hidden="false" customHeight="true" outlineLevel="0" collapsed="false">
      <c r="A490" s="89"/>
      <c r="B490" s="89"/>
      <c r="C490" s="89"/>
      <c r="D490" s="150"/>
      <c r="E490" s="152"/>
      <c r="F490" s="151"/>
      <c r="G490" s="151"/>
      <c r="H490" s="151"/>
      <c r="I490" s="151"/>
      <c r="J490" s="152"/>
      <c r="K490" s="152"/>
      <c r="L490" s="152"/>
      <c r="M490" s="152"/>
      <c r="N490" s="150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</row>
    <row r="491" customFormat="false" ht="11.25" hidden="false" customHeight="true" outlineLevel="0" collapsed="false">
      <c r="A491" s="89"/>
      <c r="B491" s="89"/>
      <c r="C491" s="89"/>
      <c r="D491" s="150"/>
      <c r="E491" s="152"/>
      <c r="F491" s="151"/>
      <c r="G491" s="151"/>
      <c r="H491" s="151"/>
      <c r="I491" s="151"/>
      <c r="J491" s="152"/>
      <c r="K491" s="152"/>
      <c r="L491" s="152"/>
      <c r="M491" s="152"/>
      <c r="N491" s="150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</row>
    <row r="492" customFormat="false" ht="11.25" hidden="false" customHeight="true" outlineLevel="0" collapsed="false">
      <c r="A492" s="89"/>
      <c r="B492" s="89"/>
      <c r="C492" s="89"/>
      <c r="D492" s="150"/>
      <c r="E492" s="152"/>
      <c r="F492" s="151"/>
      <c r="G492" s="151"/>
      <c r="H492" s="151"/>
      <c r="I492" s="151"/>
      <c r="J492" s="152"/>
      <c r="K492" s="152"/>
      <c r="L492" s="152"/>
      <c r="M492" s="152"/>
      <c r="N492" s="150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</row>
    <row r="493" customFormat="false" ht="11.25" hidden="false" customHeight="true" outlineLevel="0" collapsed="false">
      <c r="A493" s="89"/>
      <c r="B493" s="89"/>
      <c r="C493" s="89"/>
      <c r="D493" s="150"/>
      <c r="E493" s="152"/>
      <c r="F493" s="151"/>
      <c r="G493" s="151"/>
      <c r="H493" s="151"/>
      <c r="I493" s="151"/>
      <c r="J493" s="152"/>
      <c r="K493" s="152"/>
      <c r="L493" s="152"/>
      <c r="M493" s="152"/>
      <c r="N493" s="150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</row>
    <row r="494" customFormat="false" ht="11.25" hidden="false" customHeight="true" outlineLevel="0" collapsed="false">
      <c r="A494" s="89"/>
      <c r="B494" s="89"/>
      <c r="C494" s="89"/>
      <c r="D494" s="150"/>
      <c r="E494" s="152"/>
      <c r="F494" s="151"/>
      <c r="G494" s="151"/>
      <c r="H494" s="151"/>
      <c r="I494" s="151"/>
      <c r="J494" s="152"/>
      <c r="K494" s="152"/>
      <c r="L494" s="152"/>
      <c r="M494" s="152"/>
      <c r="N494" s="150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</row>
    <row r="495" customFormat="false" ht="11.25" hidden="false" customHeight="true" outlineLevel="0" collapsed="false">
      <c r="A495" s="89"/>
      <c r="B495" s="89"/>
      <c r="C495" s="89"/>
      <c r="D495" s="150"/>
      <c r="E495" s="152"/>
      <c r="F495" s="151"/>
      <c r="G495" s="151"/>
      <c r="H495" s="151"/>
      <c r="I495" s="151"/>
      <c r="J495" s="152"/>
      <c r="K495" s="152"/>
      <c r="L495" s="152"/>
      <c r="M495" s="152"/>
      <c r="N495" s="150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</row>
    <row r="496" customFormat="false" ht="11.25" hidden="false" customHeight="true" outlineLevel="0" collapsed="false">
      <c r="A496" s="89"/>
      <c r="B496" s="89"/>
      <c r="C496" s="89"/>
      <c r="D496" s="150"/>
      <c r="E496" s="152"/>
      <c r="F496" s="151"/>
      <c r="G496" s="151"/>
      <c r="H496" s="151"/>
      <c r="I496" s="151"/>
      <c r="J496" s="152"/>
      <c r="K496" s="152"/>
      <c r="L496" s="152"/>
      <c r="M496" s="152"/>
      <c r="N496" s="150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</row>
    <row r="497" customFormat="false" ht="11.25" hidden="false" customHeight="true" outlineLevel="0" collapsed="false">
      <c r="A497" s="89"/>
      <c r="B497" s="89"/>
      <c r="C497" s="89"/>
      <c r="D497" s="150"/>
      <c r="E497" s="152"/>
      <c r="F497" s="151"/>
      <c r="G497" s="151"/>
      <c r="H497" s="151"/>
      <c r="I497" s="151"/>
      <c r="J497" s="152"/>
      <c r="K497" s="152"/>
      <c r="L497" s="152"/>
      <c r="M497" s="152"/>
      <c r="N497" s="150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</row>
    <row r="498" customFormat="false" ht="11.25" hidden="false" customHeight="true" outlineLevel="0" collapsed="false">
      <c r="A498" s="89"/>
      <c r="B498" s="89"/>
      <c r="C498" s="89"/>
      <c r="D498" s="150"/>
      <c r="E498" s="152"/>
      <c r="F498" s="151"/>
      <c r="G498" s="151"/>
      <c r="H498" s="151"/>
      <c r="I498" s="151"/>
      <c r="J498" s="152"/>
      <c r="K498" s="152"/>
      <c r="L498" s="152"/>
      <c r="M498" s="152"/>
      <c r="N498" s="150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</row>
    <row r="499" customFormat="false" ht="11.25" hidden="false" customHeight="true" outlineLevel="0" collapsed="false">
      <c r="A499" s="89"/>
      <c r="B499" s="89"/>
      <c r="C499" s="89"/>
      <c r="D499" s="150"/>
      <c r="E499" s="152"/>
      <c r="F499" s="151"/>
      <c r="G499" s="151"/>
      <c r="H499" s="151"/>
      <c r="I499" s="151"/>
      <c r="J499" s="152"/>
      <c r="K499" s="152"/>
      <c r="L499" s="152"/>
      <c r="M499" s="152"/>
      <c r="N499" s="150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</row>
    <row r="500" customFormat="false" ht="11.25" hidden="false" customHeight="true" outlineLevel="0" collapsed="false">
      <c r="A500" s="89"/>
      <c r="B500" s="89"/>
      <c r="C500" s="89"/>
      <c r="D500" s="150"/>
      <c r="E500" s="152"/>
      <c r="F500" s="151"/>
      <c r="G500" s="151"/>
      <c r="H500" s="151"/>
      <c r="I500" s="151"/>
      <c r="J500" s="152"/>
      <c r="K500" s="152"/>
      <c r="L500" s="152"/>
      <c r="M500" s="152"/>
      <c r="N500" s="150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</row>
    <row r="501" customFormat="false" ht="11.25" hidden="false" customHeight="true" outlineLevel="0" collapsed="false">
      <c r="A501" s="89"/>
      <c r="B501" s="89"/>
      <c r="C501" s="89"/>
      <c r="D501" s="150"/>
      <c r="E501" s="152"/>
      <c r="F501" s="151"/>
      <c r="G501" s="151"/>
      <c r="H501" s="151"/>
      <c r="I501" s="151"/>
      <c r="J501" s="152"/>
      <c r="K501" s="152"/>
      <c r="L501" s="152"/>
      <c r="M501" s="152"/>
      <c r="N501" s="150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</row>
    <row r="502" customFormat="false" ht="11.25" hidden="false" customHeight="true" outlineLevel="0" collapsed="false">
      <c r="A502" s="89"/>
      <c r="B502" s="89"/>
      <c r="C502" s="89"/>
      <c r="D502" s="150"/>
      <c r="E502" s="152"/>
      <c r="F502" s="151"/>
      <c r="G502" s="151"/>
      <c r="H502" s="151"/>
      <c r="I502" s="151"/>
      <c r="J502" s="152"/>
      <c r="K502" s="152"/>
      <c r="L502" s="152"/>
      <c r="M502" s="152"/>
      <c r="N502" s="150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</row>
    <row r="503" customFormat="false" ht="11.25" hidden="false" customHeight="true" outlineLevel="0" collapsed="false">
      <c r="A503" s="89"/>
      <c r="B503" s="89"/>
      <c r="C503" s="89"/>
      <c r="D503" s="150"/>
      <c r="E503" s="152"/>
      <c r="F503" s="151"/>
      <c r="G503" s="151"/>
      <c r="H503" s="151"/>
      <c r="I503" s="151"/>
      <c r="J503" s="152"/>
      <c r="K503" s="152"/>
      <c r="L503" s="152"/>
      <c r="M503" s="152"/>
      <c r="N503" s="150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</row>
    <row r="504" customFormat="false" ht="11.25" hidden="false" customHeight="true" outlineLevel="0" collapsed="false">
      <c r="A504" s="89"/>
      <c r="B504" s="89"/>
      <c r="C504" s="89"/>
      <c r="D504" s="150"/>
      <c r="E504" s="152"/>
      <c r="F504" s="151"/>
      <c r="G504" s="151"/>
      <c r="H504" s="151"/>
      <c r="I504" s="151"/>
      <c r="J504" s="152"/>
      <c r="K504" s="152"/>
      <c r="L504" s="152"/>
      <c r="M504" s="152"/>
      <c r="N504" s="150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</row>
    <row r="505" customFormat="false" ht="11.25" hidden="false" customHeight="true" outlineLevel="0" collapsed="false">
      <c r="A505" s="89"/>
      <c r="B505" s="89"/>
      <c r="C505" s="89"/>
      <c r="D505" s="150"/>
      <c r="E505" s="152"/>
      <c r="F505" s="151"/>
      <c r="G505" s="151"/>
      <c r="H505" s="151"/>
      <c r="I505" s="151"/>
      <c r="J505" s="152"/>
      <c r="K505" s="152"/>
      <c r="L505" s="152"/>
      <c r="M505" s="152"/>
      <c r="N505" s="150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</row>
    <row r="506" customFormat="false" ht="11.25" hidden="false" customHeight="true" outlineLevel="0" collapsed="false">
      <c r="A506" s="89"/>
      <c r="B506" s="89"/>
      <c r="C506" s="89"/>
      <c r="D506" s="150"/>
      <c r="E506" s="152"/>
      <c r="F506" s="151"/>
      <c r="G506" s="151"/>
      <c r="H506" s="151"/>
      <c r="I506" s="151"/>
      <c r="J506" s="152"/>
      <c r="K506" s="152"/>
      <c r="L506" s="152"/>
      <c r="M506" s="152"/>
      <c r="N506" s="150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</row>
    <row r="507" customFormat="false" ht="11.25" hidden="false" customHeight="true" outlineLevel="0" collapsed="false">
      <c r="A507" s="89"/>
      <c r="B507" s="89"/>
      <c r="C507" s="89"/>
      <c r="D507" s="150"/>
      <c r="E507" s="152"/>
      <c r="F507" s="151"/>
      <c r="G507" s="151"/>
      <c r="H507" s="151"/>
      <c r="I507" s="151"/>
      <c r="J507" s="152"/>
      <c r="K507" s="152"/>
      <c r="L507" s="152"/>
      <c r="M507" s="152"/>
      <c r="N507" s="150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</row>
    <row r="508" customFormat="false" ht="11.25" hidden="false" customHeight="true" outlineLevel="0" collapsed="false">
      <c r="A508" s="89"/>
      <c r="B508" s="89"/>
      <c r="C508" s="89"/>
      <c r="D508" s="150"/>
      <c r="E508" s="152"/>
      <c r="F508" s="151"/>
      <c r="G508" s="151"/>
      <c r="H508" s="151"/>
      <c r="I508" s="151"/>
      <c r="J508" s="152"/>
      <c r="K508" s="152"/>
      <c r="L508" s="152"/>
      <c r="M508" s="152"/>
      <c r="N508" s="150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</row>
    <row r="509" customFormat="false" ht="11.25" hidden="false" customHeight="true" outlineLevel="0" collapsed="false">
      <c r="A509" s="89"/>
      <c r="B509" s="89"/>
      <c r="C509" s="89"/>
      <c r="D509" s="150"/>
      <c r="E509" s="152"/>
      <c r="F509" s="151"/>
      <c r="G509" s="151"/>
      <c r="H509" s="151"/>
      <c r="I509" s="151"/>
      <c r="J509" s="152"/>
      <c r="K509" s="152"/>
      <c r="L509" s="152"/>
      <c r="M509" s="152"/>
      <c r="N509" s="150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</row>
    <row r="510" customFormat="false" ht="11.25" hidden="false" customHeight="true" outlineLevel="0" collapsed="false">
      <c r="A510" s="89"/>
      <c r="B510" s="89"/>
      <c r="C510" s="89"/>
      <c r="D510" s="150"/>
      <c r="E510" s="152"/>
      <c r="F510" s="151"/>
      <c r="G510" s="151"/>
      <c r="H510" s="151"/>
      <c r="I510" s="151"/>
      <c r="J510" s="152"/>
      <c r="K510" s="152"/>
      <c r="L510" s="152"/>
      <c r="M510" s="152"/>
      <c r="N510" s="150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</row>
    <row r="511" customFormat="false" ht="11.25" hidden="false" customHeight="true" outlineLevel="0" collapsed="false">
      <c r="A511" s="89"/>
      <c r="B511" s="89"/>
      <c r="C511" s="89"/>
      <c r="D511" s="150"/>
      <c r="E511" s="152"/>
      <c r="F511" s="151"/>
      <c r="G511" s="151"/>
      <c r="H511" s="151"/>
      <c r="I511" s="151"/>
      <c r="J511" s="152"/>
      <c r="K511" s="152"/>
      <c r="L511" s="152"/>
      <c r="M511" s="152"/>
      <c r="N511" s="150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</row>
    <row r="512" customFormat="false" ht="11.25" hidden="false" customHeight="true" outlineLevel="0" collapsed="false">
      <c r="A512" s="89"/>
      <c r="B512" s="89"/>
      <c r="C512" s="89"/>
      <c r="D512" s="150"/>
      <c r="E512" s="152"/>
      <c r="F512" s="151"/>
      <c r="G512" s="151"/>
      <c r="H512" s="151"/>
      <c r="I512" s="151"/>
      <c r="J512" s="152"/>
      <c r="K512" s="152"/>
      <c r="L512" s="152"/>
      <c r="M512" s="152"/>
      <c r="N512" s="150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</row>
    <row r="513" customFormat="false" ht="11.25" hidden="false" customHeight="true" outlineLevel="0" collapsed="false">
      <c r="A513" s="89"/>
      <c r="B513" s="89"/>
      <c r="C513" s="89"/>
      <c r="D513" s="150"/>
      <c r="E513" s="152"/>
      <c r="F513" s="151"/>
      <c r="G513" s="151"/>
      <c r="H513" s="151"/>
      <c r="I513" s="151"/>
      <c r="J513" s="152"/>
      <c r="K513" s="152"/>
      <c r="L513" s="152"/>
      <c r="M513" s="152"/>
      <c r="N513" s="150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</row>
    <row r="514" customFormat="false" ht="11.25" hidden="false" customHeight="true" outlineLevel="0" collapsed="false">
      <c r="A514" s="89"/>
      <c r="B514" s="89"/>
      <c r="C514" s="89"/>
      <c r="D514" s="150"/>
      <c r="E514" s="152"/>
      <c r="F514" s="151"/>
      <c r="G514" s="151"/>
      <c r="H514" s="151"/>
      <c r="I514" s="151"/>
      <c r="J514" s="152"/>
      <c r="K514" s="152"/>
      <c r="L514" s="152"/>
      <c r="M514" s="152"/>
      <c r="N514" s="150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</row>
    <row r="515" customFormat="false" ht="11.25" hidden="false" customHeight="true" outlineLevel="0" collapsed="false">
      <c r="A515" s="89"/>
      <c r="B515" s="89"/>
      <c r="C515" s="89"/>
      <c r="D515" s="150"/>
      <c r="E515" s="152"/>
      <c r="F515" s="151"/>
      <c r="G515" s="151"/>
      <c r="H515" s="151"/>
      <c r="I515" s="151"/>
      <c r="J515" s="152"/>
      <c r="K515" s="152"/>
      <c r="L515" s="152"/>
      <c r="M515" s="152"/>
      <c r="N515" s="150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</row>
    <row r="516" customFormat="false" ht="11.25" hidden="false" customHeight="true" outlineLevel="0" collapsed="false">
      <c r="A516" s="89"/>
      <c r="B516" s="89"/>
      <c r="C516" s="89"/>
      <c r="D516" s="150"/>
      <c r="E516" s="152"/>
      <c r="F516" s="151"/>
      <c r="G516" s="151"/>
      <c r="H516" s="151"/>
      <c r="I516" s="151"/>
      <c r="J516" s="152"/>
      <c r="K516" s="152"/>
      <c r="L516" s="152"/>
      <c r="M516" s="152"/>
      <c r="N516" s="150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</row>
    <row r="517" customFormat="false" ht="11.25" hidden="false" customHeight="true" outlineLevel="0" collapsed="false">
      <c r="A517" s="89"/>
      <c r="B517" s="89"/>
      <c r="C517" s="89"/>
      <c r="D517" s="150"/>
      <c r="E517" s="152"/>
      <c r="F517" s="151"/>
      <c r="G517" s="151"/>
      <c r="H517" s="151"/>
      <c r="I517" s="151"/>
      <c r="J517" s="152"/>
      <c r="K517" s="152"/>
      <c r="L517" s="152"/>
      <c r="M517" s="152"/>
      <c r="N517" s="150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</row>
    <row r="518" customFormat="false" ht="11.25" hidden="false" customHeight="true" outlineLevel="0" collapsed="false">
      <c r="A518" s="89"/>
      <c r="B518" s="89"/>
      <c r="C518" s="89"/>
      <c r="D518" s="150"/>
      <c r="E518" s="152"/>
      <c r="F518" s="151"/>
      <c r="G518" s="151"/>
      <c r="H518" s="151"/>
      <c r="I518" s="151"/>
      <c r="J518" s="152"/>
      <c r="K518" s="152"/>
      <c r="L518" s="152"/>
      <c r="M518" s="152"/>
      <c r="N518" s="150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</row>
    <row r="519" customFormat="false" ht="11.25" hidden="false" customHeight="true" outlineLevel="0" collapsed="false">
      <c r="A519" s="89"/>
      <c r="B519" s="89"/>
      <c r="C519" s="89"/>
      <c r="D519" s="150"/>
      <c r="E519" s="152"/>
      <c r="F519" s="151"/>
      <c r="G519" s="151"/>
      <c r="H519" s="151"/>
      <c r="I519" s="151"/>
      <c r="J519" s="152"/>
      <c r="K519" s="152"/>
      <c r="L519" s="152"/>
      <c r="M519" s="152"/>
      <c r="N519" s="150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</row>
    <row r="520" customFormat="false" ht="11.25" hidden="false" customHeight="true" outlineLevel="0" collapsed="false">
      <c r="A520" s="89"/>
      <c r="B520" s="89"/>
      <c r="C520" s="89"/>
      <c r="D520" s="150"/>
      <c r="E520" s="152"/>
      <c r="F520" s="151"/>
      <c r="G520" s="151"/>
      <c r="H520" s="151"/>
      <c r="I520" s="151"/>
      <c r="J520" s="152"/>
      <c r="K520" s="152"/>
      <c r="L520" s="152"/>
      <c r="M520" s="152"/>
      <c r="N520" s="150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</row>
    <row r="521" customFormat="false" ht="11.25" hidden="false" customHeight="true" outlineLevel="0" collapsed="false">
      <c r="A521" s="89"/>
      <c r="B521" s="89"/>
      <c r="C521" s="89"/>
      <c r="D521" s="150"/>
      <c r="E521" s="152"/>
      <c r="F521" s="151"/>
      <c r="G521" s="151"/>
      <c r="H521" s="151"/>
      <c r="I521" s="151"/>
      <c r="J521" s="152"/>
      <c r="K521" s="152"/>
      <c r="L521" s="152"/>
      <c r="M521" s="152"/>
      <c r="N521" s="150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</row>
    <row r="522" customFormat="false" ht="11.25" hidden="false" customHeight="true" outlineLevel="0" collapsed="false">
      <c r="A522" s="89"/>
      <c r="B522" s="89"/>
      <c r="C522" s="89"/>
      <c r="D522" s="150"/>
      <c r="E522" s="152"/>
      <c r="F522" s="151"/>
      <c r="G522" s="151"/>
      <c r="H522" s="151"/>
      <c r="I522" s="151"/>
      <c r="J522" s="152"/>
      <c r="K522" s="152"/>
      <c r="L522" s="152"/>
      <c r="M522" s="152"/>
      <c r="N522" s="150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</row>
    <row r="523" customFormat="false" ht="11.25" hidden="false" customHeight="true" outlineLevel="0" collapsed="false">
      <c r="A523" s="89"/>
      <c r="B523" s="89"/>
      <c r="C523" s="89"/>
      <c r="D523" s="150"/>
      <c r="E523" s="152"/>
      <c r="F523" s="151"/>
      <c r="G523" s="151"/>
      <c r="H523" s="151"/>
      <c r="I523" s="151"/>
      <c r="J523" s="152"/>
      <c r="K523" s="152"/>
      <c r="L523" s="152"/>
      <c r="M523" s="152"/>
      <c r="N523" s="150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</row>
    <row r="524" customFormat="false" ht="11.25" hidden="false" customHeight="true" outlineLevel="0" collapsed="false">
      <c r="A524" s="89"/>
      <c r="B524" s="89"/>
      <c r="C524" s="89"/>
      <c r="D524" s="150"/>
      <c r="E524" s="152"/>
      <c r="F524" s="151"/>
      <c r="G524" s="151"/>
      <c r="H524" s="151"/>
      <c r="I524" s="151"/>
      <c r="J524" s="152"/>
      <c r="K524" s="152"/>
      <c r="L524" s="152"/>
      <c r="M524" s="152"/>
      <c r="N524" s="150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</row>
    <row r="525" customFormat="false" ht="11.25" hidden="false" customHeight="true" outlineLevel="0" collapsed="false">
      <c r="A525" s="89"/>
      <c r="B525" s="89"/>
      <c r="C525" s="89"/>
      <c r="D525" s="150"/>
      <c r="E525" s="152"/>
      <c r="F525" s="151"/>
      <c r="G525" s="151"/>
      <c r="H525" s="151"/>
      <c r="I525" s="151"/>
      <c r="J525" s="152"/>
      <c r="K525" s="152"/>
      <c r="L525" s="152"/>
      <c r="M525" s="152"/>
      <c r="N525" s="150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</row>
    <row r="526" customFormat="false" ht="11.25" hidden="false" customHeight="true" outlineLevel="0" collapsed="false">
      <c r="A526" s="89"/>
      <c r="B526" s="89"/>
      <c r="C526" s="89"/>
      <c r="D526" s="150"/>
      <c r="E526" s="152"/>
      <c r="F526" s="151"/>
      <c r="G526" s="151"/>
      <c r="H526" s="151"/>
      <c r="I526" s="151"/>
      <c r="J526" s="152"/>
      <c r="K526" s="152"/>
      <c r="L526" s="152"/>
      <c r="M526" s="152"/>
      <c r="N526" s="150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</row>
    <row r="527" customFormat="false" ht="11.25" hidden="false" customHeight="true" outlineLevel="0" collapsed="false">
      <c r="A527" s="89"/>
      <c r="B527" s="89"/>
      <c r="C527" s="89"/>
      <c r="D527" s="150"/>
      <c r="E527" s="152"/>
      <c r="F527" s="151"/>
      <c r="G527" s="151"/>
      <c r="H527" s="151"/>
      <c r="I527" s="151"/>
      <c r="J527" s="152"/>
      <c r="K527" s="152"/>
      <c r="L527" s="152"/>
      <c r="M527" s="152"/>
      <c r="N527" s="150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</row>
    <row r="528" customFormat="false" ht="11.25" hidden="false" customHeight="true" outlineLevel="0" collapsed="false">
      <c r="A528" s="89"/>
      <c r="B528" s="89"/>
      <c r="C528" s="89"/>
      <c r="D528" s="150"/>
      <c r="E528" s="152"/>
      <c r="F528" s="151"/>
      <c r="G528" s="151"/>
      <c r="H528" s="151"/>
      <c r="I528" s="151"/>
      <c r="J528" s="152"/>
      <c r="K528" s="152"/>
      <c r="L528" s="152"/>
      <c r="M528" s="152"/>
      <c r="N528" s="150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</row>
    <row r="529" customFormat="false" ht="11.25" hidden="false" customHeight="true" outlineLevel="0" collapsed="false">
      <c r="A529" s="89"/>
      <c r="B529" s="89"/>
      <c r="C529" s="89"/>
      <c r="D529" s="150"/>
      <c r="E529" s="152"/>
      <c r="F529" s="151"/>
      <c r="G529" s="151"/>
      <c r="H529" s="151"/>
      <c r="I529" s="151"/>
      <c r="J529" s="152"/>
      <c r="K529" s="152"/>
      <c r="L529" s="152"/>
      <c r="M529" s="152"/>
      <c r="N529" s="150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</row>
    <row r="530" customFormat="false" ht="11.25" hidden="false" customHeight="true" outlineLevel="0" collapsed="false">
      <c r="A530" s="89"/>
      <c r="B530" s="89"/>
      <c r="C530" s="89"/>
      <c r="D530" s="150"/>
      <c r="E530" s="152"/>
      <c r="F530" s="151"/>
      <c r="G530" s="151"/>
      <c r="H530" s="151"/>
      <c r="I530" s="151"/>
      <c r="J530" s="152"/>
      <c r="K530" s="152"/>
      <c r="L530" s="152"/>
      <c r="M530" s="152"/>
      <c r="N530" s="150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</row>
    <row r="531" customFormat="false" ht="11.25" hidden="false" customHeight="true" outlineLevel="0" collapsed="false">
      <c r="A531" s="89"/>
      <c r="B531" s="89"/>
      <c r="C531" s="89"/>
      <c r="D531" s="150"/>
      <c r="E531" s="152"/>
      <c r="F531" s="151"/>
      <c r="G531" s="151"/>
      <c r="H531" s="151"/>
      <c r="I531" s="151"/>
      <c r="J531" s="152"/>
      <c r="K531" s="152"/>
      <c r="L531" s="152"/>
      <c r="M531" s="152"/>
      <c r="N531" s="150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</row>
    <row r="532" customFormat="false" ht="11.25" hidden="false" customHeight="true" outlineLevel="0" collapsed="false">
      <c r="A532" s="89"/>
      <c r="B532" s="89"/>
      <c r="C532" s="89"/>
      <c r="D532" s="150"/>
      <c r="E532" s="152"/>
      <c r="F532" s="151"/>
      <c r="G532" s="151"/>
      <c r="H532" s="151"/>
      <c r="I532" s="151"/>
      <c r="J532" s="152"/>
      <c r="K532" s="152"/>
      <c r="L532" s="152"/>
      <c r="M532" s="152"/>
      <c r="N532" s="150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</row>
    <row r="533" customFormat="false" ht="11.25" hidden="false" customHeight="true" outlineLevel="0" collapsed="false">
      <c r="A533" s="89"/>
      <c r="B533" s="89"/>
      <c r="C533" s="89"/>
      <c r="D533" s="150"/>
      <c r="E533" s="152"/>
      <c r="F533" s="151"/>
      <c r="G533" s="151"/>
      <c r="H533" s="151"/>
      <c r="I533" s="151"/>
      <c r="J533" s="152"/>
      <c r="K533" s="152"/>
      <c r="L533" s="152"/>
      <c r="M533" s="152"/>
      <c r="N533" s="150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</row>
    <row r="534" customFormat="false" ht="11.25" hidden="false" customHeight="true" outlineLevel="0" collapsed="false">
      <c r="A534" s="89"/>
      <c r="B534" s="89"/>
      <c r="C534" s="89"/>
      <c r="D534" s="150"/>
      <c r="E534" s="152"/>
      <c r="F534" s="151"/>
      <c r="G534" s="151"/>
      <c r="H534" s="151"/>
      <c r="I534" s="151"/>
      <c r="J534" s="152"/>
      <c r="K534" s="152"/>
      <c r="L534" s="152"/>
      <c r="M534" s="152"/>
      <c r="N534" s="150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</row>
    <row r="535" customFormat="false" ht="11.25" hidden="false" customHeight="true" outlineLevel="0" collapsed="false">
      <c r="A535" s="89"/>
      <c r="B535" s="89"/>
      <c r="C535" s="89"/>
      <c r="D535" s="150"/>
      <c r="E535" s="152"/>
      <c r="F535" s="151"/>
      <c r="G535" s="151"/>
      <c r="H535" s="151"/>
      <c r="I535" s="151"/>
      <c r="J535" s="152"/>
      <c r="K535" s="152"/>
      <c r="L535" s="152"/>
      <c r="M535" s="152"/>
      <c r="N535" s="150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</row>
    <row r="536" customFormat="false" ht="11.25" hidden="false" customHeight="true" outlineLevel="0" collapsed="false">
      <c r="A536" s="89"/>
      <c r="B536" s="89"/>
      <c r="C536" s="89"/>
      <c r="D536" s="150"/>
      <c r="E536" s="152"/>
      <c r="F536" s="151"/>
      <c r="G536" s="151"/>
      <c r="H536" s="151"/>
      <c r="I536" s="151"/>
      <c r="J536" s="152"/>
      <c r="K536" s="152"/>
      <c r="L536" s="152"/>
      <c r="M536" s="152"/>
      <c r="N536" s="150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</row>
    <row r="537" customFormat="false" ht="11.25" hidden="false" customHeight="true" outlineLevel="0" collapsed="false">
      <c r="A537" s="89"/>
      <c r="B537" s="89"/>
      <c r="C537" s="89"/>
      <c r="D537" s="150"/>
      <c r="E537" s="152"/>
      <c r="F537" s="151"/>
      <c r="G537" s="151"/>
      <c r="H537" s="151"/>
      <c r="I537" s="151"/>
      <c r="J537" s="152"/>
      <c r="K537" s="152"/>
      <c r="L537" s="152"/>
      <c r="M537" s="152"/>
      <c r="N537" s="150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</row>
    <row r="538" customFormat="false" ht="11.25" hidden="false" customHeight="true" outlineLevel="0" collapsed="false">
      <c r="A538" s="89"/>
      <c r="B538" s="89"/>
      <c r="C538" s="89"/>
      <c r="D538" s="150"/>
      <c r="E538" s="152"/>
      <c r="F538" s="151"/>
      <c r="G538" s="151"/>
      <c r="H538" s="151"/>
      <c r="I538" s="151"/>
      <c r="J538" s="152"/>
      <c r="K538" s="152"/>
      <c r="L538" s="152"/>
      <c r="M538" s="152"/>
      <c r="N538" s="150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</row>
    <row r="539" customFormat="false" ht="11.25" hidden="false" customHeight="true" outlineLevel="0" collapsed="false">
      <c r="A539" s="89"/>
      <c r="B539" s="89"/>
      <c r="C539" s="89"/>
      <c r="D539" s="150"/>
      <c r="E539" s="152"/>
      <c r="F539" s="151"/>
      <c r="G539" s="151"/>
      <c r="H539" s="151"/>
      <c r="I539" s="151"/>
      <c r="J539" s="152"/>
      <c r="K539" s="152"/>
      <c r="L539" s="152"/>
      <c r="M539" s="152"/>
      <c r="N539" s="150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</row>
    <row r="540" customFormat="false" ht="11.25" hidden="false" customHeight="true" outlineLevel="0" collapsed="false">
      <c r="A540" s="89"/>
      <c r="B540" s="89"/>
      <c r="C540" s="89"/>
      <c r="D540" s="150"/>
      <c r="E540" s="152"/>
      <c r="F540" s="151"/>
      <c r="G540" s="151"/>
      <c r="H540" s="151"/>
      <c r="I540" s="151"/>
      <c r="J540" s="152"/>
      <c r="K540" s="152"/>
      <c r="L540" s="152"/>
      <c r="M540" s="152"/>
      <c r="N540" s="150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</row>
    <row r="541" customFormat="false" ht="11.25" hidden="false" customHeight="true" outlineLevel="0" collapsed="false">
      <c r="A541" s="89"/>
      <c r="B541" s="89"/>
      <c r="C541" s="89"/>
      <c r="D541" s="150"/>
      <c r="E541" s="152"/>
      <c r="F541" s="151"/>
      <c r="G541" s="151"/>
      <c r="H541" s="151"/>
      <c r="I541" s="151"/>
      <c r="J541" s="152"/>
      <c r="K541" s="152"/>
      <c r="L541" s="152"/>
      <c r="M541" s="152"/>
      <c r="N541" s="150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</row>
    <row r="542" customFormat="false" ht="11.25" hidden="false" customHeight="true" outlineLevel="0" collapsed="false">
      <c r="A542" s="89"/>
      <c r="B542" s="89"/>
      <c r="C542" s="89"/>
      <c r="D542" s="150"/>
      <c r="E542" s="152"/>
      <c r="F542" s="151"/>
      <c r="G542" s="151"/>
      <c r="H542" s="151"/>
      <c r="I542" s="151"/>
      <c r="J542" s="152"/>
      <c r="K542" s="152"/>
      <c r="L542" s="152"/>
      <c r="M542" s="152"/>
      <c r="N542" s="150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</row>
    <row r="543" customFormat="false" ht="11.25" hidden="false" customHeight="true" outlineLevel="0" collapsed="false">
      <c r="A543" s="89"/>
      <c r="B543" s="89"/>
      <c r="C543" s="89"/>
      <c r="D543" s="150"/>
      <c r="E543" s="152"/>
      <c r="F543" s="151"/>
      <c r="G543" s="151"/>
      <c r="H543" s="151"/>
      <c r="I543" s="151"/>
      <c r="J543" s="152"/>
      <c r="K543" s="152"/>
      <c r="L543" s="152"/>
      <c r="M543" s="152"/>
      <c r="N543" s="150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</row>
    <row r="544" customFormat="false" ht="11.25" hidden="false" customHeight="true" outlineLevel="0" collapsed="false">
      <c r="A544" s="89"/>
      <c r="B544" s="89"/>
      <c r="C544" s="89"/>
      <c r="D544" s="150"/>
      <c r="E544" s="152"/>
      <c r="F544" s="151"/>
      <c r="G544" s="151"/>
      <c r="H544" s="151"/>
      <c r="I544" s="151"/>
      <c r="J544" s="152"/>
      <c r="K544" s="152"/>
      <c r="L544" s="152"/>
      <c r="M544" s="152"/>
      <c r="N544" s="150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</row>
    <row r="545" customFormat="false" ht="11.25" hidden="false" customHeight="true" outlineLevel="0" collapsed="false">
      <c r="A545" s="89"/>
      <c r="B545" s="89"/>
      <c r="C545" s="89"/>
      <c r="D545" s="150"/>
      <c r="E545" s="152"/>
      <c r="F545" s="151"/>
      <c r="G545" s="151"/>
      <c r="H545" s="151"/>
      <c r="I545" s="151"/>
      <c r="J545" s="152"/>
      <c r="K545" s="152"/>
      <c r="L545" s="152"/>
      <c r="M545" s="152"/>
      <c r="N545" s="150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</row>
    <row r="546" customFormat="false" ht="11.25" hidden="false" customHeight="true" outlineLevel="0" collapsed="false">
      <c r="A546" s="89"/>
      <c r="B546" s="89"/>
      <c r="C546" s="89"/>
      <c r="D546" s="150"/>
      <c r="E546" s="152"/>
      <c r="F546" s="151"/>
      <c r="G546" s="151"/>
      <c r="H546" s="151"/>
      <c r="I546" s="151"/>
      <c r="J546" s="152"/>
      <c r="K546" s="152"/>
      <c r="L546" s="152"/>
      <c r="M546" s="152"/>
      <c r="N546" s="150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</row>
    <row r="547" customFormat="false" ht="11.25" hidden="false" customHeight="true" outlineLevel="0" collapsed="false">
      <c r="A547" s="89"/>
      <c r="B547" s="89"/>
      <c r="C547" s="89"/>
      <c r="D547" s="150"/>
      <c r="E547" s="152"/>
      <c r="F547" s="151"/>
      <c r="G547" s="151"/>
      <c r="H547" s="151"/>
      <c r="I547" s="151"/>
      <c r="J547" s="152"/>
      <c r="K547" s="152"/>
      <c r="L547" s="152"/>
      <c r="M547" s="152"/>
      <c r="N547" s="150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</row>
    <row r="548" customFormat="false" ht="11.25" hidden="false" customHeight="true" outlineLevel="0" collapsed="false">
      <c r="A548" s="89"/>
      <c r="B548" s="89"/>
      <c r="C548" s="89"/>
      <c r="D548" s="150"/>
      <c r="E548" s="152"/>
      <c r="F548" s="151"/>
      <c r="G548" s="151"/>
      <c r="H548" s="151"/>
      <c r="I548" s="151"/>
      <c r="J548" s="152"/>
      <c r="K548" s="152"/>
      <c r="L548" s="152"/>
      <c r="M548" s="152"/>
      <c r="N548" s="150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</row>
    <row r="549" customFormat="false" ht="11.25" hidden="false" customHeight="true" outlineLevel="0" collapsed="false">
      <c r="A549" s="89"/>
      <c r="B549" s="89"/>
      <c r="C549" s="89"/>
      <c r="D549" s="150"/>
      <c r="E549" s="152"/>
      <c r="F549" s="151"/>
      <c r="G549" s="151"/>
      <c r="H549" s="151"/>
      <c r="I549" s="151"/>
      <c r="J549" s="152"/>
      <c r="K549" s="152"/>
      <c r="L549" s="152"/>
      <c r="M549" s="152"/>
      <c r="N549" s="150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</row>
    <row r="550" customFormat="false" ht="11.25" hidden="false" customHeight="true" outlineLevel="0" collapsed="false">
      <c r="A550" s="89"/>
      <c r="B550" s="89"/>
      <c r="C550" s="89"/>
      <c r="D550" s="150"/>
      <c r="E550" s="152"/>
      <c r="F550" s="151"/>
      <c r="G550" s="151"/>
      <c r="H550" s="151"/>
      <c r="I550" s="151"/>
      <c r="J550" s="152"/>
      <c r="K550" s="152"/>
      <c r="L550" s="152"/>
      <c r="M550" s="152"/>
      <c r="N550" s="150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</row>
    <row r="551" customFormat="false" ht="11.25" hidden="false" customHeight="true" outlineLevel="0" collapsed="false">
      <c r="A551" s="89"/>
      <c r="B551" s="89"/>
      <c r="C551" s="89"/>
      <c r="D551" s="150"/>
      <c r="E551" s="152"/>
      <c r="F551" s="151"/>
      <c r="G551" s="151"/>
      <c r="H551" s="151"/>
      <c r="I551" s="151"/>
      <c r="J551" s="152"/>
      <c r="K551" s="152"/>
      <c r="L551" s="152"/>
      <c r="M551" s="152"/>
      <c r="N551" s="150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</row>
    <row r="552" customFormat="false" ht="11.25" hidden="false" customHeight="true" outlineLevel="0" collapsed="false">
      <c r="A552" s="89"/>
      <c r="B552" s="89"/>
      <c r="C552" s="89"/>
      <c r="D552" s="150"/>
      <c r="E552" s="152"/>
      <c r="F552" s="151"/>
      <c r="G552" s="151"/>
      <c r="H552" s="151"/>
      <c r="I552" s="151"/>
      <c r="J552" s="152"/>
      <c r="K552" s="152"/>
      <c r="L552" s="152"/>
      <c r="M552" s="152"/>
      <c r="N552" s="150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</row>
    <row r="553" customFormat="false" ht="11.25" hidden="false" customHeight="true" outlineLevel="0" collapsed="false">
      <c r="A553" s="89"/>
      <c r="B553" s="89"/>
      <c r="C553" s="89"/>
      <c r="D553" s="150"/>
      <c r="E553" s="152"/>
      <c r="F553" s="151"/>
      <c r="G553" s="151"/>
      <c r="H553" s="151"/>
      <c r="I553" s="151"/>
      <c r="J553" s="152"/>
      <c r="K553" s="152"/>
      <c r="L553" s="152"/>
      <c r="M553" s="152"/>
      <c r="N553" s="150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</row>
    <row r="554" customFormat="false" ht="11.25" hidden="false" customHeight="true" outlineLevel="0" collapsed="false">
      <c r="A554" s="89"/>
      <c r="B554" s="89"/>
      <c r="C554" s="89"/>
      <c r="D554" s="150"/>
      <c r="E554" s="152"/>
      <c r="F554" s="151"/>
      <c r="G554" s="151"/>
      <c r="H554" s="151"/>
      <c r="I554" s="151"/>
      <c r="J554" s="152"/>
      <c r="K554" s="152"/>
      <c r="L554" s="152"/>
      <c r="M554" s="152"/>
      <c r="N554" s="150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</row>
    <row r="555" customFormat="false" ht="11.25" hidden="false" customHeight="true" outlineLevel="0" collapsed="false">
      <c r="A555" s="89"/>
      <c r="B555" s="89"/>
      <c r="C555" s="89"/>
      <c r="D555" s="150"/>
      <c r="E555" s="152"/>
      <c r="F555" s="151"/>
      <c r="G555" s="151"/>
      <c r="H555" s="151"/>
      <c r="I555" s="151"/>
      <c r="J555" s="152"/>
      <c r="K555" s="152"/>
      <c r="L555" s="152"/>
      <c r="M555" s="152"/>
      <c r="N555" s="150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</row>
    <row r="556" customFormat="false" ht="11.25" hidden="false" customHeight="true" outlineLevel="0" collapsed="false">
      <c r="A556" s="89"/>
      <c r="B556" s="89"/>
      <c r="C556" s="89"/>
      <c r="D556" s="150"/>
      <c r="E556" s="152"/>
      <c r="F556" s="151"/>
      <c r="G556" s="151"/>
      <c r="H556" s="151"/>
      <c r="I556" s="151"/>
      <c r="J556" s="152"/>
      <c r="K556" s="152"/>
      <c r="L556" s="152"/>
      <c r="M556" s="152"/>
      <c r="N556" s="150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</row>
    <row r="557" customFormat="false" ht="11.25" hidden="false" customHeight="true" outlineLevel="0" collapsed="false">
      <c r="A557" s="89"/>
      <c r="B557" s="89"/>
      <c r="C557" s="89"/>
      <c r="D557" s="150"/>
      <c r="E557" s="152"/>
      <c r="F557" s="151"/>
      <c r="G557" s="151"/>
      <c r="H557" s="151"/>
      <c r="I557" s="151"/>
      <c r="J557" s="152"/>
      <c r="K557" s="152"/>
      <c r="L557" s="152"/>
      <c r="M557" s="152"/>
      <c r="N557" s="150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</row>
    <row r="558" customFormat="false" ht="11.25" hidden="false" customHeight="true" outlineLevel="0" collapsed="false">
      <c r="A558" s="89"/>
      <c r="B558" s="89"/>
      <c r="C558" s="89"/>
      <c r="D558" s="150"/>
      <c r="E558" s="152"/>
      <c r="F558" s="151"/>
      <c r="G558" s="151"/>
      <c r="H558" s="151"/>
      <c r="I558" s="151"/>
      <c r="J558" s="152"/>
      <c r="K558" s="152"/>
      <c r="L558" s="152"/>
      <c r="M558" s="152"/>
      <c r="N558" s="150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</row>
    <row r="559" customFormat="false" ht="11.25" hidden="false" customHeight="true" outlineLevel="0" collapsed="false">
      <c r="A559" s="89"/>
      <c r="B559" s="89"/>
      <c r="C559" s="89"/>
      <c r="D559" s="150"/>
      <c r="E559" s="152"/>
      <c r="F559" s="151"/>
      <c r="G559" s="151"/>
      <c r="H559" s="151"/>
      <c r="I559" s="151"/>
      <c r="J559" s="152"/>
      <c r="K559" s="152"/>
      <c r="L559" s="152"/>
      <c r="M559" s="152"/>
      <c r="N559" s="150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</row>
    <row r="560" customFormat="false" ht="11.25" hidden="false" customHeight="true" outlineLevel="0" collapsed="false">
      <c r="A560" s="89"/>
      <c r="B560" s="89"/>
      <c r="C560" s="89"/>
      <c r="D560" s="150"/>
      <c r="E560" s="152"/>
      <c r="F560" s="151"/>
      <c r="G560" s="151"/>
      <c r="H560" s="151"/>
      <c r="I560" s="151"/>
      <c r="J560" s="152"/>
      <c r="K560" s="152"/>
      <c r="L560" s="152"/>
      <c r="M560" s="152"/>
      <c r="N560" s="150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</row>
    <row r="561" customFormat="false" ht="11.25" hidden="false" customHeight="true" outlineLevel="0" collapsed="false">
      <c r="A561" s="89"/>
      <c r="B561" s="89"/>
      <c r="C561" s="89"/>
      <c r="D561" s="150"/>
      <c r="E561" s="152"/>
      <c r="F561" s="151"/>
      <c r="G561" s="151"/>
      <c r="H561" s="151"/>
      <c r="I561" s="151"/>
      <c r="J561" s="152"/>
      <c r="K561" s="152"/>
      <c r="L561" s="152"/>
      <c r="M561" s="152"/>
      <c r="N561" s="150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</row>
    <row r="562" customFormat="false" ht="11.25" hidden="false" customHeight="true" outlineLevel="0" collapsed="false">
      <c r="A562" s="89"/>
      <c r="B562" s="89"/>
      <c r="C562" s="89"/>
      <c r="D562" s="150"/>
      <c r="E562" s="152"/>
      <c r="F562" s="151"/>
      <c r="G562" s="151"/>
      <c r="H562" s="151"/>
      <c r="I562" s="151"/>
      <c r="J562" s="152"/>
      <c r="K562" s="152"/>
      <c r="L562" s="152"/>
      <c r="M562" s="152"/>
      <c r="N562" s="150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</row>
    <row r="563" customFormat="false" ht="11.25" hidden="false" customHeight="true" outlineLevel="0" collapsed="false">
      <c r="A563" s="89"/>
      <c r="B563" s="89"/>
      <c r="C563" s="89"/>
      <c r="D563" s="150"/>
      <c r="E563" s="152"/>
      <c r="F563" s="151"/>
      <c r="G563" s="151"/>
      <c r="H563" s="151"/>
      <c r="I563" s="151"/>
      <c r="J563" s="152"/>
      <c r="K563" s="152"/>
      <c r="L563" s="152"/>
      <c r="M563" s="152"/>
      <c r="N563" s="150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</row>
    <row r="564" customFormat="false" ht="11.25" hidden="false" customHeight="true" outlineLevel="0" collapsed="false">
      <c r="A564" s="89"/>
      <c r="B564" s="89"/>
      <c r="C564" s="89"/>
      <c r="D564" s="150"/>
      <c r="E564" s="152"/>
      <c r="F564" s="151"/>
      <c r="G564" s="151"/>
      <c r="H564" s="151"/>
      <c r="I564" s="151"/>
      <c r="J564" s="152"/>
      <c r="K564" s="152"/>
      <c r="L564" s="152"/>
      <c r="M564" s="152"/>
      <c r="N564" s="150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</row>
    <row r="565" customFormat="false" ht="11.25" hidden="false" customHeight="true" outlineLevel="0" collapsed="false">
      <c r="A565" s="89"/>
      <c r="B565" s="89"/>
      <c r="C565" s="89"/>
      <c r="D565" s="150"/>
      <c r="E565" s="152"/>
      <c r="F565" s="151"/>
      <c r="G565" s="151"/>
      <c r="H565" s="151"/>
      <c r="I565" s="151"/>
      <c r="J565" s="152"/>
      <c r="K565" s="152"/>
      <c r="L565" s="152"/>
      <c r="M565" s="152"/>
      <c r="N565" s="150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</row>
    <row r="566" customFormat="false" ht="11.25" hidden="false" customHeight="true" outlineLevel="0" collapsed="false">
      <c r="A566" s="89"/>
      <c r="B566" s="89"/>
      <c r="C566" s="89"/>
      <c r="D566" s="150"/>
      <c r="E566" s="152"/>
      <c r="F566" s="151"/>
      <c r="G566" s="151"/>
      <c r="H566" s="151"/>
      <c r="I566" s="151"/>
      <c r="J566" s="152"/>
      <c r="K566" s="152"/>
      <c r="L566" s="152"/>
      <c r="M566" s="152"/>
      <c r="N566" s="150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</row>
    <row r="567" customFormat="false" ht="11.25" hidden="false" customHeight="true" outlineLevel="0" collapsed="false">
      <c r="A567" s="89"/>
      <c r="B567" s="89"/>
      <c r="C567" s="89"/>
      <c r="D567" s="150"/>
      <c r="E567" s="152"/>
      <c r="F567" s="151"/>
      <c r="G567" s="151"/>
      <c r="H567" s="151"/>
      <c r="I567" s="151"/>
      <c r="J567" s="152"/>
      <c r="K567" s="152"/>
      <c r="L567" s="152"/>
      <c r="M567" s="152"/>
      <c r="N567" s="150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</row>
    <row r="568" customFormat="false" ht="11.25" hidden="false" customHeight="true" outlineLevel="0" collapsed="false">
      <c r="A568" s="89"/>
      <c r="B568" s="89"/>
      <c r="C568" s="89"/>
      <c r="D568" s="150"/>
      <c r="E568" s="152"/>
      <c r="F568" s="151"/>
      <c r="G568" s="151"/>
      <c r="H568" s="151"/>
      <c r="I568" s="151"/>
      <c r="J568" s="152"/>
      <c r="K568" s="152"/>
      <c r="L568" s="152"/>
      <c r="M568" s="152"/>
      <c r="N568" s="150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</row>
    <row r="569" customFormat="false" ht="11.25" hidden="false" customHeight="true" outlineLevel="0" collapsed="false">
      <c r="A569" s="89"/>
      <c r="B569" s="89"/>
      <c r="C569" s="89"/>
      <c r="D569" s="150"/>
      <c r="E569" s="152"/>
      <c r="F569" s="151"/>
      <c r="G569" s="151"/>
      <c r="H569" s="151"/>
      <c r="I569" s="151"/>
      <c r="J569" s="152"/>
      <c r="K569" s="152"/>
      <c r="L569" s="152"/>
      <c r="M569" s="152"/>
      <c r="N569" s="150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</row>
    <row r="570" customFormat="false" ht="11.25" hidden="false" customHeight="true" outlineLevel="0" collapsed="false">
      <c r="A570" s="89"/>
      <c r="B570" s="89"/>
      <c r="C570" s="89"/>
      <c r="D570" s="150"/>
      <c r="E570" s="152"/>
      <c r="F570" s="151"/>
      <c r="G570" s="151"/>
      <c r="H570" s="151"/>
      <c r="I570" s="151"/>
      <c r="J570" s="152"/>
      <c r="K570" s="152"/>
      <c r="L570" s="152"/>
      <c r="M570" s="152"/>
      <c r="N570" s="150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</row>
    <row r="571" customFormat="false" ht="11.25" hidden="false" customHeight="true" outlineLevel="0" collapsed="false">
      <c r="A571" s="89"/>
      <c r="B571" s="89"/>
      <c r="C571" s="89"/>
      <c r="D571" s="150"/>
      <c r="E571" s="152"/>
      <c r="F571" s="151"/>
      <c r="G571" s="151"/>
      <c r="H571" s="151"/>
      <c r="I571" s="151"/>
      <c r="J571" s="152"/>
      <c r="K571" s="152"/>
      <c r="L571" s="152"/>
      <c r="M571" s="152"/>
      <c r="N571" s="150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</row>
    <row r="572" customFormat="false" ht="11.25" hidden="false" customHeight="true" outlineLevel="0" collapsed="false">
      <c r="A572" s="89"/>
      <c r="B572" s="89"/>
      <c r="C572" s="89"/>
      <c r="D572" s="150"/>
      <c r="E572" s="152"/>
      <c r="F572" s="151"/>
      <c r="G572" s="151"/>
      <c r="H572" s="151"/>
      <c r="I572" s="151"/>
      <c r="J572" s="152"/>
      <c r="K572" s="152"/>
      <c r="L572" s="152"/>
      <c r="M572" s="152"/>
      <c r="N572" s="150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</row>
    <row r="573" customFormat="false" ht="11.25" hidden="false" customHeight="true" outlineLevel="0" collapsed="false">
      <c r="A573" s="89"/>
      <c r="B573" s="89"/>
      <c r="C573" s="89"/>
      <c r="D573" s="150"/>
      <c r="E573" s="152"/>
      <c r="F573" s="151"/>
      <c r="G573" s="151"/>
      <c r="H573" s="151"/>
      <c r="I573" s="151"/>
      <c r="J573" s="152"/>
      <c r="K573" s="152"/>
      <c r="L573" s="152"/>
      <c r="M573" s="152"/>
      <c r="N573" s="150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</row>
    <row r="574" customFormat="false" ht="11.25" hidden="false" customHeight="true" outlineLevel="0" collapsed="false">
      <c r="A574" s="89"/>
      <c r="B574" s="89"/>
      <c r="C574" s="89"/>
      <c r="D574" s="150"/>
      <c r="E574" s="152"/>
      <c r="F574" s="151"/>
      <c r="G574" s="151"/>
      <c r="H574" s="151"/>
      <c r="I574" s="151"/>
      <c r="J574" s="152"/>
      <c r="K574" s="152"/>
      <c r="L574" s="152"/>
      <c r="M574" s="152"/>
      <c r="N574" s="150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</row>
    <row r="575" customFormat="false" ht="11.25" hidden="false" customHeight="true" outlineLevel="0" collapsed="false">
      <c r="A575" s="89"/>
      <c r="B575" s="89"/>
      <c r="C575" s="89"/>
      <c r="D575" s="150"/>
      <c r="E575" s="152"/>
      <c r="F575" s="151"/>
      <c r="G575" s="151"/>
      <c r="H575" s="151"/>
      <c r="I575" s="151"/>
      <c r="J575" s="152"/>
      <c r="K575" s="152"/>
      <c r="L575" s="152"/>
      <c r="M575" s="152"/>
      <c r="N575" s="150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</row>
    <row r="576" customFormat="false" ht="11.25" hidden="false" customHeight="true" outlineLevel="0" collapsed="false">
      <c r="A576" s="89"/>
      <c r="B576" s="89"/>
      <c r="C576" s="89"/>
      <c r="D576" s="150"/>
      <c r="E576" s="152"/>
      <c r="F576" s="151"/>
      <c r="G576" s="151"/>
      <c r="H576" s="151"/>
      <c r="I576" s="151"/>
      <c r="J576" s="152"/>
      <c r="K576" s="152"/>
      <c r="L576" s="152"/>
      <c r="M576" s="152"/>
      <c r="N576" s="150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</row>
    <row r="577" customFormat="false" ht="11.25" hidden="false" customHeight="true" outlineLevel="0" collapsed="false">
      <c r="A577" s="89"/>
      <c r="B577" s="89"/>
      <c r="C577" s="89"/>
      <c r="D577" s="150"/>
      <c r="E577" s="152"/>
      <c r="F577" s="151"/>
      <c r="G577" s="151"/>
      <c r="H577" s="151"/>
      <c r="I577" s="151"/>
      <c r="J577" s="152"/>
      <c r="K577" s="152"/>
      <c r="L577" s="152"/>
      <c r="M577" s="152"/>
      <c r="N577" s="150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</row>
    <row r="578" customFormat="false" ht="11.25" hidden="false" customHeight="true" outlineLevel="0" collapsed="false">
      <c r="A578" s="89"/>
      <c r="B578" s="89"/>
      <c r="C578" s="89"/>
      <c r="D578" s="150"/>
      <c r="E578" s="152"/>
      <c r="F578" s="151"/>
      <c r="G578" s="151"/>
      <c r="H578" s="151"/>
      <c r="I578" s="151"/>
      <c r="J578" s="152"/>
      <c r="K578" s="152"/>
      <c r="L578" s="152"/>
      <c r="M578" s="152"/>
      <c r="N578" s="150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</row>
    <row r="579" customFormat="false" ht="11.25" hidden="false" customHeight="true" outlineLevel="0" collapsed="false">
      <c r="A579" s="89"/>
      <c r="B579" s="89"/>
      <c r="C579" s="89"/>
      <c r="D579" s="150"/>
      <c r="E579" s="152"/>
      <c r="F579" s="151"/>
      <c r="G579" s="151"/>
      <c r="H579" s="151"/>
      <c r="I579" s="151"/>
      <c r="J579" s="152"/>
      <c r="K579" s="152"/>
      <c r="L579" s="152"/>
      <c r="M579" s="152"/>
      <c r="N579" s="150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</row>
    <row r="580" customFormat="false" ht="11.25" hidden="false" customHeight="true" outlineLevel="0" collapsed="false">
      <c r="A580" s="89"/>
      <c r="B580" s="89"/>
      <c r="C580" s="89"/>
      <c r="D580" s="150"/>
      <c r="E580" s="152"/>
      <c r="F580" s="151"/>
      <c r="G580" s="151"/>
      <c r="H580" s="151"/>
      <c r="I580" s="151"/>
      <c r="J580" s="152"/>
      <c r="K580" s="152"/>
      <c r="L580" s="152"/>
      <c r="M580" s="152"/>
      <c r="N580" s="150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</row>
    <row r="581" customFormat="false" ht="11.25" hidden="false" customHeight="true" outlineLevel="0" collapsed="false">
      <c r="A581" s="89"/>
      <c r="B581" s="89"/>
      <c r="C581" s="89"/>
      <c r="D581" s="150"/>
      <c r="E581" s="152"/>
      <c r="F581" s="151"/>
      <c r="G581" s="151"/>
      <c r="H581" s="151"/>
      <c r="I581" s="151"/>
      <c r="J581" s="152"/>
      <c r="K581" s="152"/>
      <c r="L581" s="152"/>
      <c r="M581" s="152"/>
      <c r="N581" s="150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</row>
    <row r="582" customFormat="false" ht="11.25" hidden="false" customHeight="true" outlineLevel="0" collapsed="false">
      <c r="A582" s="89"/>
      <c r="B582" s="89"/>
      <c r="C582" s="89"/>
      <c r="D582" s="150"/>
      <c r="E582" s="152"/>
      <c r="F582" s="151"/>
      <c r="G582" s="151"/>
      <c r="H582" s="151"/>
      <c r="I582" s="151"/>
      <c r="J582" s="152"/>
      <c r="K582" s="152"/>
      <c r="L582" s="152"/>
      <c r="M582" s="152"/>
      <c r="N582" s="150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</row>
    <row r="583" customFormat="false" ht="11.25" hidden="false" customHeight="true" outlineLevel="0" collapsed="false">
      <c r="A583" s="89"/>
      <c r="B583" s="89"/>
      <c r="C583" s="89"/>
      <c r="D583" s="150"/>
      <c r="E583" s="152"/>
      <c r="F583" s="151"/>
      <c r="G583" s="151"/>
      <c r="H583" s="151"/>
      <c r="I583" s="151"/>
      <c r="J583" s="152"/>
      <c r="K583" s="152"/>
      <c r="L583" s="152"/>
      <c r="M583" s="152"/>
      <c r="N583" s="150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</row>
    <row r="584" customFormat="false" ht="11.25" hidden="false" customHeight="true" outlineLevel="0" collapsed="false">
      <c r="A584" s="89"/>
      <c r="B584" s="89"/>
      <c r="C584" s="89"/>
      <c r="D584" s="150"/>
      <c r="E584" s="152"/>
      <c r="F584" s="151"/>
      <c r="G584" s="151"/>
      <c r="H584" s="151"/>
      <c r="I584" s="151"/>
      <c r="J584" s="152"/>
      <c r="K584" s="152"/>
      <c r="L584" s="152"/>
      <c r="M584" s="152"/>
      <c r="N584" s="150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</row>
    <row r="585" customFormat="false" ht="11.25" hidden="false" customHeight="true" outlineLevel="0" collapsed="false">
      <c r="A585" s="89"/>
      <c r="B585" s="89"/>
      <c r="C585" s="89"/>
      <c r="D585" s="150"/>
      <c r="E585" s="152"/>
      <c r="F585" s="151"/>
      <c r="G585" s="151"/>
      <c r="H585" s="151"/>
      <c r="I585" s="151"/>
      <c r="J585" s="152"/>
      <c r="K585" s="152"/>
      <c r="L585" s="152"/>
      <c r="M585" s="152"/>
      <c r="N585" s="150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</row>
    <row r="586" customFormat="false" ht="11.25" hidden="false" customHeight="true" outlineLevel="0" collapsed="false">
      <c r="A586" s="89"/>
      <c r="B586" s="89"/>
      <c r="C586" s="89"/>
      <c r="D586" s="150"/>
      <c r="E586" s="152"/>
      <c r="F586" s="151"/>
      <c r="G586" s="151"/>
      <c r="H586" s="151"/>
      <c r="I586" s="151"/>
      <c r="J586" s="152"/>
      <c r="K586" s="152"/>
      <c r="L586" s="152"/>
      <c r="M586" s="152"/>
      <c r="N586" s="150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</row>
    <row r="587" customFormat="false" ht="11.25" hidden="false" customHeight="true" outlineLevel="0" collapsed="false">
      <c r="A587" s="89"/>
      <c r="B587" s="89"/>
      <c r="C587" s="89"/>
      <c r="D587" s="150"/>
      <c r="E587" s="152"/>
      <c r="F587" s="151"/>
      <c r="G587" s="151"/>
      <c r="H587" s="151"/>
      <c r="I587" s="151"/>
      <c r="J587" s="152"/>
      <c r="K587" s="152"/>
      <c r="L587" s="152"/>
      <c r="M587" s="152"/>
      <c r="N587" s="150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</row>
    <row r="588" customFormat="false" ht="11.25" hidden="false" customHeight="true" outlineLevel="0" collapsed="false">
      <c r="A588" s="89"/>
      <c r="B588" s="89"/>
      <c r="C588" s="89"/>
      <c r="D588" s="150"/>
      <c r="E588" s="152"/>
      <c r="F588" s="151"/>
      <c r="G588" s="151"/>
      <c r="H588" s="151"/>
      <c r="I588" s="151"/>
      <c r="J588" s="152"/>
      <c r="K588" s="152"/>
      <c r="L588" s="152"/>
      <c r="M588" s="152"/>
      <c r="N588" s="150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</row>
    <row r="589" customFormat="false" ht="11.25" hidden="false" customHeight="true" outlineLevel="0" collapsed="false">
      <c r="A589" s="89"/>
      <c r="B589" s="89"/>
      <c r="C589" s="89"/>
      <c r="D589" s="150"/>
      <c r="E589" s="152"/>
      <c r="F589" s="151"/>
      <c r="G589" s="151"/>
      <c r="H589" s="151"/>
      <c r="I589" s="151"/>
      <c r="J589" s="152"/>
      <c r="K589" s="152"/>
      <c r="L589" s="152"/>
      <c r="M589" s="152"/>
      <c r="N589" s="150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</row>
    <row r="590" customFormat="false" ht="11.25" hidden="false" customHeight="true" outlineLevel="0" collapsed="false">
      <c r="A590" s="89"/>
      <c r="B590" s="89"/>
      <c r="C590" s="89"/>
      <c r="D590" s="150"/>
      <c r="E590" s="152"/>
      <c r="F590" s="151"/>
      <c r="G590" s="151"/>
      <c r="H590" s="151"/>
      <c r="I590" s="151"/>
      <c r="J590" s="152"/>
      <c r="K590" s="152"/>
      <c r="L590" s="152"/>
      <c r="M590" s="152"/>
      <c r="N590" s="150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</row>
    <row r="591" customFormat="false" ht="11.25" hidden="false" customHeight="true" outlineLevel="0" collapsed="false">
      <c r="A591" s="89"/>
      <c r="B591" s="89"/>
      <c r="C591" s="89"/>
      <c r="D591" s="150"/>
      <c r="E591" s="152"/>
      <c r="F591" s="151"/>
      <c r="G591" s="151"/>
      <c r="H591" s="151"/>
      <c r="I591" s="151"/>
      <c r="J591" s="152"/>
      <c r="K591" s="152"/>
      <c r="L591" s="152"/>
      <c r="M591" s="152"/>
      <c r="N591" s="150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</row>
    <row r="592" customFormat="false" ht="11.25" hidden="false" customHeight="true" outlineLevel="0" collapsed="false">
      <c r="A592" s="89"/>
      <c r="B592" s="89"/>
      <c r="C592" s="89"/>
      <c r="D592" s="150"/>
      <c r="E592" s="152"/>
      <c r="F592" s="151"/>
      <c r="G592" s="151"/>
      <c r="H592" s="151"/>
      <c r="I592" s="151"/>
      <c r="J592" s="152"/>
      <c r="K592" s="152"/>
      <c r="L592" s="152"/>
      <c r="M592" s="152"/>
      <c r="N592" s="150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</row>
    <row r="593" customFormat="false" ht="11.25" hidden="false" customHeight="true" outlineLevel="0" collapsed="false">
      <c r="A593" s="89"/>
      <c r="B593" s="89"/>
      <c r="C593" s="89"/>
      <c r="D593" s="150"/>
      <c r="E593" s="152"/>
      <c r="F593" s="151"/>
      <c r="G593" s="151"/>
      <c r="H593" s="151"/>
      <c r="I593" s="151"/>
      <c r="J593" s="152"/>
      <c r="K593" s="152"/>
      <c r="L593" s="152"/>
      <c r="M593" s="152"/>
      <c r="N593" s="150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</row>
    <row r="594" customFormat="false" ht="11.25" hidden="false" customHeight="true" outlineLevel="0" collapsed="false">
      <c r="A594" s="89"/>
      <c r="B594" s="89"/>
      <c r="C594" s="89"/>
      <c r="D594" s="150"/>
      <c r="E594" s="152"/>
      <c r="F594" s="151"/>
      <c r="G594" s="151"/>
      <c r="H594" s="151"/>
      <c r="I594" s="151"/>
      <c r="J594" s="152"/>
      <c r="K594" s="152"/>
      <c r="L594" s="152"/>
      <c r="M594" s="152"/>
      <c r="N594" s="150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</row>
    <row r="595" customFormat="false" ht="11.25" hidden="false" customHeight="true" outlineLevel="0" collapsed="false">
      <c r="A595" s="89"/>
      <c r="B595" s="89"/>
      <c r="C595" s="89"/>
      <c r="D595" s="150"/>
      <c r="E595" s="152"/>
      <c r="F595" s="151"/>
      <c r="G595" s="151"/>
      <c r="H595" s="151"/>
      <c r="I595" s="151"/>
      <c r="J595" s="152"/>
      <c r="K595" s="152"/>
      <c r="L595" s="152"/>
      <c r="M595" s="152"/>
      <c r="N595" s="150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</row>
    <row r="596" customFormat="false" ht="11.25" hidden="false" customHeight="true" outlineLevel="0" collapsed="false">
      <c r="A596" s="89"/>
      <c r="B596" s="89"/>
      <c r="C596" s="89"/>
      <c r="D596" s="150"/>
      <c r="E596" s="152"/>
      <c r="F596" s="151"/>
      <c r="G596" s="151"/>
      <c r="H596" s="151"/>
      <c r="I596" s="151"/>
      <c r="J596" s="152"/>
      <c r="K596" s="152"/>
      <c r="L596" s="152"/>
      <c r="M596" s="152"/>
      <c r="N596" s="150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</row>
    <row r="597" customFormat="false" ht="11.25" hidden="false" customHeight="true" outlineLevel="0" collapsed="false">
      <c r="A597" s="89"/>
      <c r="B597" s="89"/>
      <c r="C597" s="89"/>
      <c r="D597" s="150"/>
      <c r="E597" s="152"/>
      <c r="F597" s="151"/>
      <c r="G597" s="151"/>
      <c r="H597" s="151"/>
      <c r="I597" s="151"/>
      <c r="J597" s="152"/>
      <c r="K597" s="152"/>
      <c r="L597" s="152"/>
      <c r="M597" s="152"/>
      <c r="N597" s="150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</row>
    <row r="598" customFormat="false" ht="11.25" hidden="false" customHeight="true" outlineLevel="0" collapsed="false">
      <c r="A598" s="89"/>
      <c r="B598" s="89"/>
      <c r="C598" s="89"/>
      <c r="D598" s="150"/>
      <c r="E598" s="152"/>
      <c r="F598" s="151"/>
      <c r="G598" s="151"/>
      <c r="H598" s="151"/>
      <c r="I598" s="151"/>
      <c r="J598" s="152"/>
      <c r="K598" s="152"/>
      <c r="L598" s="152"/>
      <c r="M598" s="152"/>
      <c r="N598" s="150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</row>
    <row r="599" customFormat="false" ht="11.25" hidden="false" customHeight="true" outlineLevel="0" collapsed="false">
      <c r="A599" s="89"/>
      <c r="B599" s="89"/>
      <c r="C599" s="89"/>
      <c r="D599" s="150"/>
      <c r="E599" s="152"/>
      <c r="F599" s="151"/>
      <c r="G599" s="151"/>
      <c r="H599" s="151"/>
      <c r="I599" s="151"/>
      <c r="J599" s="152"/>
      <c r="K599" s="152"/>
      <c r="L599" s="152"/>
      <c r="M599" s="152"/>
      <c r="N599" s="150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</row>
    <row r="600" customFormat="false" ht="11.25" hidden="false" customHeight="true" outlineLevel="0" collapsed="false">
      <c r="A600" s="89"/>
      <c r="B600" s="89"/>
      <c r="C600" s="89"/>
      <c r="D600" s="150"/>
      <c r="E600" s="152"/>
      <c r="F600" s="151"/>
      <c r="G600" s="151"/>
      <c r="H600" s="151"/>
      <c r="I600" s="151"/>
      <c r="J600" s="152"/>
      <c r="K600" s="152"/>
      <c r="L600" s="152"/>
      <c r="M600" s="152"/>
      <c r="N600" s="150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</row>
    <row r="601" customFormat="false" ht="11.25" hidden="false" customHeight="true" outlineLevel="0" collapsed="false">
      <c r="A601" s="89"/>
      <c r="B601" s="89"/>
      <c r="C601" s="89"/>
      <c r="D601" s="150"/>
      <c r="E601" s="152"/>
      <c r="F601" s="151"/>
      <c r="G601" s="151"/>
      <c r="H601" s="151"/>
      <c r="I601" s="151"/>
      <c r="J601" s="152"/>
      <c r="K601" s="152"/>
      <c r="L601" s="152"/>
      <c r="M601" s="152"/>
      <c r="N601" s="150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</row>
    <row r="602" customFormat="false" ht="11.25" hidden="false" customHeight="true" outlineLevel="0" collapsed="false">
      <c r="A602" s="89"/>
      <c r="B602" s="89"/>
      <c r="C602" s="89"/>
      <c r="D602" s="150"/>
      <c r="E602" s="152"/>
      <c r="F602" s="151"/>
      <c r="G602" s="151"/>
      <c r="H602" s="151"/>
      <c r="I602" s="151"/>
      <c r="J602" s="152"/>
      <c r="K602" s="152"/>
      <c r="L602" s="152"/>
      <c r="M602" s="152"/>
      <c r="N602" s="150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</row>
    <row r="603" customFormat="false" ht="11.25" hidden="false" customHeight="true" outlineLevel="0" collapsed="false">
      <c r="A603" s="89"/>
      <c r="B603" s="89"/>
      <c r="C603" s="89"/>
      <c r="D603" s="150"/>
      <c r="E603" s="152"/>
      <c r="F603" s="151"/>
      <c r="G603" s="151"/>
      <c r="H603" s="151"/>
      <c r="I603" s="151"/>
      <c r="J603" s="152"/>
      <c r="K603" s="152"/>
      <c r="L603" s="152"/>
      <c r="M603" s="152"/>
      <c r="N603" s="150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</row>
    <row r="604" customFormat="false" ht="11.25" hidden="false" customHeight="true" outlineLevel="0" collapsed="false">
      <c r="A604" s="89"/>
      <c r="B604" s="89"/>
      <c r="C604" s="89"/>
      <c r="D604" s="150"/>
      <c r="E604" s="152"/>
      <c r="F604" s="151"/>
      <c r="G604" s="151"/>
      <c r="H604" s="151"/>
      <c r="I604" s="151"/>
      <c r="J604" s="152"/>
      <c r="K604" s="152"/>
      <c r="L604" s="152"/>
      <c r="M604" s="152"/>
      <c r="N604" s="150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</row>
    <row r="605" customFormat="false" ht="11.25" hidden="false" customHeight="true" outlineLevel="0" collapsed="false">
      <c r="A605" s="89"/>
      <c r="B605" s="89"/>
      <c r="C605" s="89"/>
      <c r="D605" s="150"/>
      <c r="E605" s="152"/>
      <c r="F605" s="151"/>
      <c r="G605" s="151"/>
      <c r="H605" s="151"/>
      <c r="I605" s="151"/>
      <c r="J605" s="152"/>
      <c r="K605" s="152"/>
      <c r="L605" s="152"/>
      <c r="M605" s="152"/>
      <c r="N605" s="150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</row>
    <row r="606" customFormat="false" ht="11.25" hidden="false" customHeight="true" outlineLevel="0" collapsed="false">
      <c r="A606" s="89"/>
      <c r="B606" s="89"/>
      <c r="C606" s="89"/>
      <c r="D606" s="150"/>
      <c r="E606" s="152"/>
      <c r="F606" s="151"/>
      <c r="G606" s="151"/>
      <c r="H606" s="151"/>
      <c r="I606" s="151"/>
      <c r="J606" s="152"/>
      <c r="K606" s="152"/>
      <c r="L606" s="152"/>
      <c r="M606" s="152"/>
      <c r="N606" s="150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</row>
    <row r="607" customFormat="false" ht="11.25" hidden="false" customHeight="true" outlineLevel="0" collapsed="false">
      <c r="A607" s="89"/>
      <c r="B607" s="89"/>
      <c r="C607" s="89"/>
      <c r="D607" s="150"/>
      <c r="E607" s="152"/>
      <c r="F607" s="151"/>
      <c r="G607" s="151"/>
      <c r="H607" s="151"/>
      <c r="I607" s="151"/>
      <c r="J607" s="152"/>
      <c r="K607" s="152"/>
      <c r="L607" s="152"/>
      <c r="M607" s="152"/>
      <c r="N607" s="150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</row>
    <row r="608" customFormat="false" ht="11.25" hidden="false" customHeight="true" outlineLevel="0" collapsed="false">
      <c r="A608" s="89"/>
      <c r="B608" s="89"/>
      <c r="C608" s="89"/>
      <c r="D608" s="150"/>
      <c r="E608" s="152"/>
      <c r="F608" s="151"/>
      <c r="G608" s="151"/>
      <c r="H608" s="151"/>
      <c r="I608" s="151"/>
      <c r="J608" s="152"/>
      <c r="K608" s="152"/>
      <c r="L608" s="152"/>
      <c r="M608" s="152"/>
      <c r="N608" s="150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</row>
    <row r="609" customFormat="false" ht="11.25" hidden="false" customHeight="true" outlineLevel="0" collapsed="false">
      <c r="A609" s="89"/>
      <c r="B609" s="89"/>
      <c r="C609" s="89"/>
      <c r="D609" s="150"/>
      <c r="E609" s="152"/>
      <c r="F609" s="151"/>
      <c r="G609" s="151"/>
      <c r="H609" s="151"/>
      <c r="I609" s="151"/>
      <c r="J609" s="152"/>
      <c r="K609" s="152"/>
      <c r="L609" s="152"/>
      <c r="M609" s="152"/>
      <c r="N609" s="150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</row>
    <row r="610" customFormat="false" ht="11.25" hidden="false" customHeight="true" outlineLevel="0" collapsed="false">
      <c r="A610" s="89"/>
      <c r="B610" s="89"/>
      <c r="C610" s="89"/>
      <c r="D610" s="150"/>
      <c r="E610" s="152"/>
      <c r="F610" s="151"/>
      <c r="G610" s="151"/>
      <c r="H610" s="151"/>
      <c r="I610" s="151"/>
      <c r="J610" s="152"/>
      <c r="K610" s="152"/>
      <c r="L610" s="152"/>
      <c r="M610" s="152"/>
      <c r="N610" s="150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</row>
    <row r="611" customFormat="false" ht="11.25" hidden="false" customHeight="true" outlineLevel="0" collapsed="false">
      <c r="A611" s="89"/>
      <c r="B611" s="89"/>
      <c r="C611" s="89"/>
      <c r="D611" s="150"/>
      <c r="E611" s="152"/>
      <c r="F611" s="151"/>
      <c r="G611" s="151"/>
      <c r="H611" s="151"/>
      <c r="I611" s="151"/>
      <c r="J611" s="152"/>
      <c r="K611" s="152"/>
      <c r="L611" s="152"/>
      <c r="M611" s="152"/>
      <c r="N611" s="150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</row>
    <row r="612" customFormat="false" ht="11.25" hidden="false" customHeight="true" outlineLevel="0" collapsed="false">
      <c r="A612" s="89"/>
      <c r="B612" s="89"/>
      <c r="C612" s="89"/>
      <c r="D612" s="150"/>
      <c r="E612" s="152"/>
      <c r="F612" s="151"/>
      <c r="G612" s="151"/>
      <c r="H612" s="151"/>
      <c r="I612" s="151"/>
      <c r="J612" s="152"/>
      <c r="K612" s="152"/>
      <c r="L612" s="152"/>
      <c r="M612" s="152"/>
      <c r="N612" s="150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</row>
    <row r="613" customFormat="false" ht="11.25" hidden="false" customHeight="true" outlineLevel="0" collapsed="false">
      <c r="A613" s="89"/>
      <c r="B613" s="89"/>
      <c r="C613" s="89"/>
      <c r="D613" s="150"/>
      <c r="E613" s="152"/>
      <c r="F613" s="151"/>
      <c r="G613" s="151"/>
      <c r="H613" s="151"/>
      <c r="I613" s="151"/>
      <c r="J613" s="152"/>
      <c r="K613" s="152"/>
      <c r="L613" s="152"/>
      <c r="M613" s="152"/>
      <c r="N613" s="150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</row>
    <row r="614" customFormat="false" ht="11.25" hidden="false" customHeight="true" outlineLevel="0" collapsed="false">
      <c r="A614" s="89"/>
      <c r="B614" s="89"/>
      <c r="C614" s="89"/>
      <c r="D614" s="150"/>
      <c r="E614" s="152"/>
      <c r="F614" s="151"/>
      <c r="G614" s="151"/>
      <c r="H614" s="151"/>
      <c r="I614" s="151"/>
      <c r="J614" s="152"/>
      <c r="K614" s="152"/>
      <c r="L614" s="152"/>
      <c r="M614" s="152"/>
      <c r="N614" s="150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</row>
    <row r="615" customFormat="false" ht="11.25" hidden="false" customHeight="true" outlineLevel="0" collapsed="false">
      <c r="A615" s="89"/>
      <c r="B615" s="89"/>
      <c r="C615" s="89"/>
      <c r="D615" s="150"/>
      <c r="E615" s="152"/>
      <c r="F615" s="151"/>
      <c r="G615" s="151"/>
      <c r="H615" s="151"/>
      <c r="I615" s="151"/>
      <c r="J615" s="152"/>
      <c r="K615" s="152"/>
      <c r="L615" s="152"/>
      <c r="M615" s="152"/>
      <c r="N615" s="150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</row>
    <row r="616" customFormat="false" ht="11.25" hidden="false" customHeight="true" outlineLevel="0" collapsed="false">
      <c r="A616" s="89"/>
      <c r="B616" s="89"/>
      <c r="C616" s="89"/>
      <c r="D616" s="150"/>
      <c r="E616" s="152"/>
      <c r="F616" s="151"/>
      <c r="G616" s="151"/>
      <c r="H616" s="151"/>
      <c r="I616" s="151"/>
      <c r="J616" s="152"/>
      <c r="K616" s="152"/>
      <c r="L616" s="152"/>
      <c r="M616" s="152"/>
      <c r="N616" s="150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</row>
    <row r="617" customFormat="false" ht="11.25" hidden="false" customHeight="true" outlineLevel="0" collapsed="false">
      <c r="A617" s="89"/>
      <c r="B617" s="89"/>
      <c r="C617" s="89"/>
      <c r="D617" s="150"/>
      <c r="E617" s="152"/>
      <c r="F617" s="151"/>
      <c r="G617" s="151"/>
      <c r="H617" s="151"/>
      <c r="I617" s="151"/>
      <c r="J617" s="152"/>
      <c r="K617" s="152"/>
      <c r="L617" s="152"/>
      <c r="M617" s="152"/>
      <c r="N617" s="150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</row>
    <row r="618" customFormat="false" ht="11.25" hidden="false" customHeight="true" outlineLevel="0" collapsed="false">
      <c r="A618" s="89"/>
      <c r="B618" s="89"/>
      <c r="C618" s="89"/>
      <c r="D618" s="150"/>
      <c r="E618" s="152"/>
      <c r="F618" s="151"/>
      <c r="G618" s="151"/>
      <c r="H618" s="151"/>
      <c r="I618" s="151"/>
      <c r="J618" s="152"/>
      <c r="K618" s="152"/>
      <c r="L618" s="152"/>
      <c r="M618" s="152"/>
      <c r="N618" s="150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</row>
    <row r="619" customFormat="false" ht="11.25" hidden="false" customHeight="true" outlineLevel="0" collapsed="false">
      <c r="A619" s="89"/>
      <c r="B619" s="89"/>
      <c r="C619" s="89"/>
      <c r="D619" s="150"/>
      <c r="E619" s="152"/>
      <c r="F619" s="151"/>
      <c r="G619" s="151"/>
      <c r="H619" s="151"/>
      <c r="I619" s="151"/>
      <c r="J619" s="152"/>
      <c r="K619" s="152"/>
      <c r="L619" s="152"/>
      <c r="M619" s="152"/>
      <c r="N619" s="150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</row>
    <row r="620" customFormat="false" ht="11.25" hidden="false" customHeight="true" outlineLevel="0" collapsed="false">
      <c r="A620" s="89"/>
      <c r="B620" s="89"/>
      <c r="C620" s="89"/>
      <c r="D620" s="150"/>
      <c r="E620" s="152"/>
      <c r="F620" s="151"/>
      <c r="G620" s="151"/>
      <c r="H620" s="151"/>
      <c r="I620" s="151"/>
      <c r="J620" s="152"/>
      <c r="K620" s="152"/>
      <c r="L620" s="152"/>
      <c r="M620" s="152"/>
      <c r="N620" s="150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</row>
    <row r="621" customFormat="false" ht="11.25" hidden="false" customHeight="true" outlineLevel="0" collapsed="false">
      <c r="A621" s="89"/>
      <c r="B621" s="89"/>
      <c r="C621" s="89"/>
      <c r="D621" s="150"/>
      <c r="E621" s="152"/>
      <c r="F621" s="151"/>
      <c r="G621" s="151"/>
      <c r="H621" s="151"/>
      <c r="I621" s="151"/>
      <c r="J621" s="152"/>
      <c r="K621" s="152"/>
      <c r="L621" s="152"/>
      <c r="M621" s="152"/>
      <c r="N621" s="150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</row>
    <row r="622" customFormat="false" ht="11.25" hidden="false" customHeight="true" outlineLevel="0" collapsed="false">
      <c r="A622" s="89"/>
      <c r="B622" s="89"/>
      <c r="C622" s="89"/>
      <c r="D622" s="150"/>
      <c r="E622" s="152"/>
      <c r="F622" s="151"/>
      <c r="G622" s="151"/>
      <c r="H622" s="151"/>
      <c r="I622" s="151"/>
      <c r="J622" s="152"/>
      <c r="K622" s="152"/>
      <c r="L622" s="152"/>
      <c r="M622" s="152"/>
      <c r="N622" s="150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</row>
    <row r="623" customFormat="false" ht="11.25" hidden="false" customHeight="true" outlineLevel="0" collapsed="false">
      <c r="A623" s="89"/>
      <c r="B623" s="89"/>
      <c r="C623" s="89"/>
      <c r="D623" s="150"/>
      <c r="E623" s="152"/>
      <c r="F623" s="151"/>
      <c r="G623" s="151"/>
      <c r="H623" s="151"/>
      <c r="I623" s="151"/>
      <c r="J623" s="152"/>
      <c r="K623" s="152"/>
      <c r="L623" s="152"/>
      <c r="M623" s="152"/>
      <c r="N623" s="150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</row>
    <row r="624" customFormat="false" ht="11.25" hidden="false" customHeight="true" outlineLevel="0" collapsed="false">
      <c r="A624" s="89"/>
      <c r="B624" s="89"/>
      <c r="C624" s="89"/>
      <c r="D624" s="150"/>
      <c r="E624" s="152"/>
      <c r="F624" s="151"/>
      <c r="G624" s="151"/>
      <c r="H624" s="151"/>
      <c r="I624" s="151"/>
      <c r="J624" s="152"/>
      <c r="K624" s="152"/>
      <c r="L624" s="152"/>
      <c r="M624" s="152"/>
      <c r="N624" s="150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</row>
    <row r="625" customFormat="false" ht="11.25" hidden="false" customHeight="true" outlineLevel="0" collapsed="false">
      <c r="A625" s="89"/>
      <c r="B625" s="89"/>
      <c r="C625" s="89"/>
      <c r="D625" s="150"/>
      <c r="E625" s="152"/>
      <c r="F625" s="151"/>
      <c r="G625" s="151"/>
      <c r="H625" s="151"/>
      <c r="I625" s="151"/>
      <c r="J625" s="152"/>
      <c r="K625" s="152"/>
      <c r="L625" s="152"/>
      <c r="M625" s="152"/>
      <c r="N625" s="150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</row>
    <row r="626" customFormat="false" ht="11.25" hidden="false" customHeight="true" outlineLevel="0" collapsed="false">
      <c r="A626" s="89"/>
      <c r="B626" s="89"/>
      <c r="C626" s="89"/>
      <c r="D626" s="150"/>
      <c r="E626" s="152"/>
      <c r="F626" s="151"/>
      <c r="G626" s="151"/>
      <c r="H626" s="151"/>
      <c r="I626" s="151"/>
      <c r="J626" s="152"/>
      <c r="K626" s="152"/>
      <c r="L626" s="152"/>
      <c r="M626" s="152"/>
      <c r="N626" s="150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</row>
    <row r="627" customFormat="false" ht="11.25" hidden="false" customHeight="true" outlineLevel="0" collapsed="false">
      <c r="A627" s="89"/>
      <c r="B627" s="89"/>
      <c r="C627" s="89"/>
      <c r="D627" s="150"/>
      <c r="E627" s="152"/>
      <c r="F627" s="151"/>
      <c r="G627" s="151"/>
      <c r="H627" s="151"/>
      <c r="I627" s="151"/>
      <c r="J627" s="152"/>
      <c r="K627" s="152"/>
      <c r="L627" s="152"/>
      <c r="M627" s="152"/>
      <c r="N627" s="150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</row>
    <row r="628" customFormat="false" ht="11.25" hidden="false" customHeight="true" outlineLevel="0" collapsed="false">
      <c r="A628" s="89"/>
      <c r="B628" s="89"/>
      <c r="C628" s="89"/>
      <c r="D628" s="150"/>
      <c r="E628" s="152"/>
      <c r="F628" s="151"/>
      <c r="G628" s="151"/>
      <c r="H628" s="151"/>
      <c r="I628" s="151"/>
      <c r="J628" s="152"/>
      <c r="K628" s="152"/>
      <c r="L628" s="152"/>
      <c r="M628" s="152"/>
      <c r="N628" s="150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</row>
    <row r="629" customFormat="false" ht="11.25" hidden="false" customHeight="true" outlineLevel="0" collapsed="false">
      <c r="A629" s="89"/>
      <c r="B629" s="89"/>
      <c r="C629" s="89"/>
      <c r="D629" s="150"/>
      <c r="E629" s="152"/>
      <c r="F629" s="151"/>
      <c r="G629" s="151"/>
      <c r="H629" s="151"/>
      <c r="I629" s="151"/>
      <c r="J629" s="152"/>
      <c r="K629" s="152"/>
      <c r="L629" s="152"/>
      <c r="M629" s="152"/>
      <c r="N629" s="150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</row>
    <row r="630" customFormat="false" ht="11.25" hidden="false" customHeight="true" outlineLevel="0" collapsed="false">
      <c r="A630" s="89"/>
      <c r="B630" s="89"/>
      <c r="C630" s="89"/>
      <c r="D630" s="150"/>
      <c r="E630" s="152"/>
      <c r="F630" s="151"/>
      <c r="G630" s="151"/>
      <c r="H630" s="151"/>
      <c r="I630" s="151"/>
      <c r="J630" s="152"/>
      <c r="K630" s="152"/>
      <c r="L630" s="152"/>
      <c r="M630" s="152"/>
      <c r="N630" s="150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</row>
    <row r="631" customFormat="false" ht="11.25" hidden="false" customHeight="true" outlineLevel="0" collapsed="false">
      <c r="A631" s="89"/>
      <c r="B631" s="89"/>
      <c r="C631" s="89"/>
      <c r="D631" s="150"/>
      <c r="E631" s="152"/>
      <c r="F631" s="151"/>
      <c r="G631" s="151"/>
      <c r="H631" s="151"/>
      <c r="I631" s="151"/>
      <c r="J631" s="152"/>
      <c r="K631" s="152"/>
      <c r="L631" s="152"/>
      <c r="M631" s="152"/>
      <c r="N631" s="150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</row>
    <row r="632" customFormat="false" ht="11.25" hidden="false" customHeight="true" outlineLevel="0" collapsed="false">
      <c r="A632" s="89"/>
      <c r="B632" s="89"/>
      <c r="C632" s="89"/>
      <c r="D632" s="150"/>
      <c r="E632" s="152"/>
      <c r="F632" s="151"/>
      <c r="G632" s="151"/>
      <c r="H632" s="151"/>
      <c r="I632" s="151"/>
      <c r="J632" s="152"/>
      <c r="K632" s="152"/>
      <c r="L632" s="152"/>
      <c r="M632" s="152"/>
      <c r="N632" s="150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</row>
    <row r="633" customFormat="false" ht="11.25" hidden="false" customHeight="true" outlineLevel="0" collapsed="false">
      <c r="A633" s="89"/>
      <c r="B633" s="89"/>
      <c r="C633" s="89"/>
      <c r="D633" s="150"/>
      <c r="E633" s="152"/>
      <c r="F633" s="151"/>
      <c r="G633" s="151"/>
      <c r="H633" s="151"/>
      <c r="I633" s="151"/>
      <c r="J633" s="152"/>
      <c r="K633" s="152"/>
      <c r="L633" s="152"/>
      <c r="M633" s="152"/>
      <c r="N633" s="150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</row>
    <row r="634" customFormat="false" ht="11.25" hidden="false" customHeight="true" outlineLevel="0" collapsed="false">
      <c r="A634" s="89"/>
      <c r="B634" s="89"/>
      <c r="C634" s="89"/>
      <c r="D634" s="150"/>
      <c r="E634" s="152"/>
      <c r="F634" s="151"/>
      <c r="G634" s="151"/>
      <c r="H634" s="151"/>
      <c r="I634" s="151"/>
      <c r="J634" s="152"/>
      <c r="K634" s="152"/>
      <c r="L634" s="152"/>
      <c r="M634" s="152"/>
      <c r="N634" s="150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</row>
    <row r="635" customFormat="false" ht="11.25" hidden="false" customHeight="true" outlineLevel="0" collapsed="false">
      <c r="A635" s="89"/>
      <c r="B635" s="89"/>
      <c r="C635" s="89"/>
      <c r="D635" s="150"/>
      <c r="E635" s="152"/>
      <c r="F635" s="151"/>
      <c r="G635" s="151"/>
      <c r="H635" s="151"/>
      <c r="I635" s="151"/>
      <c r="J635" s="152"/>
      <c r="K635" s="152"/>
      <c r="L635" s="152"/>
      <c r="M635" s="152"/>
      <c r="N635" s="150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</row>
    <row r="636" customFormat="false" ht="11.25" hidden="false" customHeight="true" outlineLevel="0" collapsed="false">
      <c r="A636" s="89"/>
      <c r="B636" s="89"/>
      <c r="C636" s="89"/>
      <c r="D636" s="150"/>
      <c r="E636" s="152"/>
      <c r="F636" s="151"/>
      <c r="G636" s="151"/>
      <c r="H636" s="151"/>
      <c r="I636" s="151"/>
      <c r="J636" s="152"/>
      <c r="K636" s="152"/>
      <c r="L636" s="152"/>
      <c r="M636" s="152"/>
      <c r="N636" s="150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</row>
    <row r="637" customFormat="false" ht="11.25" hidden="false" customHeight="true" outlineLevel="0" collapsed="false">
      <c r="A637" s="89"/>
      <c r="B637" s="89"/>
      <c r="C637" s="89"/>
      <c r="D637" s="150"/>
      <c r="E637" s="152"/>
      <c r="F637" s="151"/>
      <c r="G637" s="151"/>
      <c r="H637" s="151"/>
      <c r="I637" s="151"/>
      <c r="J637" s="152"/>
      <c r="K637" s="152"/>
      <c r="L637" s="152"/>
      <c r="M637" s="152"/>
      <c r="N637" s="150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</row>
    <row r="638" customFormat="false" ht="11.25" hidden="false" customHeight="true" outlineLevel="0" collapsed="false">
      <c r="A638" s="89"/>
      <c r="B638" s="89"/>
      <c r="C638" s="89"/>
      <c r="D638" s="150"/>
      <c r="E638" s="152"/>
      <c r="F638" s="151"/>
      <c r="G638" s="151"/>
      <c r="H638" s="151"/>
      <c r="I638" s="151"/>
      <c r="J638" s="152"/>
      <c r="K638" s="152"/>
      <c r="L638" s="152"/>
      <c r="M638" s="152"/>
      <c r="N638" s="150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</row>
    <row r="639" customFormat="false" ht="11.25" hidden="false" customHeight="true" outlineLevel="0" collapsed="false">
      <c r="A639" s="89"/>
      <c r="B639" s="89"/>
      <c r="C639" s="89"/>
      <c r="D639" s="150"/>
      <c r="E639" s="152"/>
      <c r="F639" s="151"/>
      <c r="G639" s="151"/>
      <c r="H639" s="151"/>
      <c r="I639" s="151"/>
      <c r="J639" s="152"/>
      <c r="K639" s="152"/>
      <c r="L639" s="152"/>
      <c r="M639" s="152"/>
      <c r="N639" s="150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</row>
    <row r="640" customFormat="false" ht="11.25" hidden="false" customHeight="true" outlineLevel="0" collapsed="false">
      <c r="A640" s="89"/>
      <c r="B640" s="89"/>
      <c r="C640" s="89"/>
      <c r="D640" s="150"/>
      <c r="E640" s="152"/>
      <c r="F640" s="151"/>
      <c r="G640" s="151"/>
      <c r="H640" s="151"/>
      <c r="I640" s="151"/>
      <c r="J640" s="152"/>
      <c r="K640" s="152"/>
      <c r="L640" s="152"/>
      <c r="M640" s="152"/>
      <c r="N640" s="150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</row>
    <row r="641" customFormat="false" ht="11.25" hidden="false" customHeight="true" outlineLevel="0" collapsed="false">
      <c r="A641" s="89"/>
      <c r="B641" s="89"/>
      <c r="C641" s="89"/>
      <c r="D641" s="150"/>
      <c r="E641" s="152"/>
      <c r="F641" s="151"/>
      <c r="G641" s="151"/>
      <c r="H641" s="151"/>
      <c r="I641" s="151"/>
      <c r="J641" s="152"/>
      <c r="K641" s="152"/>
      <c r="L641" s="152"/>
      <c r="M641" s="152"/>
      <c r="N641" s="150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</row>
    <row r="642" customFormat="false" ht="11.25" hidden="false" customHeight="true" outlineLevel="0" collapsed="false">
      <c r="A642" s="89"/>
      <c r="B642" s="89"/>
      <c r="C642" s="89"/>
      <c r="D642" s="150"/>
      <c r="E642" s="152"/>
      <c r="F642" s="151"/>
      <c r="G642" s="151"/>
      <c r="H642" s="151"/>
      <c r="I642" s="151"/>
      <c r="J642" s="152"/>
      <c r="K642" s="152"/>
      <c r="L642" s="152"/>
      <c r="M642" s="152"/>
      <c r="N642" s="150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</row>
    <row r="643" customFormat="false" ht="11.25" hidden="false" customHeight="true" outlineLevel="0" collapsed="false">
      <c r="A643" s="89"/>
      <c r="B643" s="89"/>
      <c r="C643" s="89"/>
      <c r="D643" s="150"/>
      <c r="E643" s="152"/>
      <c r="F643" s="151"/>
      <c r="G643" s="151"/>
      <c r="H643" s="151"/>
      <c r="I643" s="151"/>
      <c r="J643" s="152"/>
      <c r="K643" s="152"/>
      <c r="L643" s="152"/>
      <c r="M643" s="152"/>
      <c r="N643" s="150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</row>
    <row r="644" customFormat="false" ht="11.25" hidden="false" customHeight="true" outlineLevel="0" collapsed="false">
      <c r="A644" s="89"/>
      <c r="B644" s="89"/>
      <c r="C644" s="89"/>
      <c r="D644" s="150"/>
      <c r="E644" s="152"/>
      <c r="F644" s="151"/>
      <c r="G644" s="151"/>
      <c r="H644" s="151"/>
      <c r="I644" s="151"/>
      <c r="J644" s="152"/>
      <c r="K644" s="152"/>
      <c r="L644" s="152"/>
      <c r="M644" s="152"/>
      <c r="N644" s="150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</row>
    <row r="645" customFormat="false" ht="11.25" hidden="false" customHeight="true" outlineLevel="0" collapsed="false">
      <c r="A645" s="89"/>
      <c r="B645" s="89"/>
      <c r="C645" s="89"/>
      <c r="D645" s="150"/>
      <c r="E645" s="152"/>
      <c r="F645" s="151"/>
      <c r="G645" s="151"/>
      <c r="H645" s="151"/>
      <c r="I645" s="151"/>
      <c r="J645" s="152"/>
      <c r="K645" s="152"/>
      <c r="L645" s="152"/>
      <c r="M645" s="152"/>
      <c r="N645" s="150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</row>
    <row r="646" customFormat="false" ht="11.25" hidden="false" customHeight="true" outlineLevel="0" collapsed="false">
      <c r="A646" s="89"/>
      <c r="B646" s="89"/>
      <c r="C646" s="89"/>
      <c r="D646" s="150"/>
      <c r="E646" s="152"/>
      <c r="F646" s="151"/>
      <c r="G646" s="151"/>
      <c r="H646" s="151"/>
      <c r="I646" s="151"/>
      <c r="J646" s="152"/>
      <c r="K646" s="152"/>
      <c r="L646" s="152"/>
      <c r="M646" s="152"/>
      <c r="N646" s="150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</row>
    <row r="647" customFormat="false" ht="11.25" hidden="false" customHeight="true" outlineLevel="0" collapsed="false">
      <c r="A647" s="89"/>
      <c r="B647" s="89"/>
      <c r="C647" s="89"/>
      <c r="D647" s="150"/>
      <c r="E647" s="152"/>
      <c r="F647" s="151"/>
      <c r="G647" s="151"/>
      <c r="H647" s="151"/>
      <c r="I647" s="151"/>
      <c r="J647" s="152"/>
      <c r="K647" s="152"/>
      <c r="L647" s="152"/>
      <c r="M647" s="152"/>
      <c r="N647" s="150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</row>
    <row r="648" customFormat="false" ht="11.25" hidden="false" customHeight="true" outlineLevel="0" collapsed="false">
      <c r="A648" s="89"/>
      <c r="B648" s="89"/>
      <c r="C648" s="89"/>
      <c r="D648" s="150"/>
      <c r="E648" s="152"/>
      <c r="F648" s="151"/>
      <c r="G648" s="151"/>
      <c r="H648" s="151"/>
      <c r="I648" s="151"/>
      <c r="J648" s="152"/>
      <c r="K648" s="152"/>
      <c r="L648" s="152"/>
      <c r="M648" s="152"/>
      <c r="N648" s="150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</row>
    <row r="649" customFormat="false" ht="11.25" hidden="false" customHeight="true" outlineLevel="0" collapsed="false">
      <c r="A649" s="89"/>
      <c r="B649" s="89"/>
      <c r="C649" s="89"/>
      <c r="D649" s="150"/>
      <c r="E649" s="152"/>
      <c r="F649" s="151"/>
      <c r="G649" s="151"/>
      <c r="H649" s="151"/>
      <c r="I649" s="151"/>
      <c r="J649" s="152"/>
      <c r="K649" s="152"/>
      <c r="L649" s="152"/>
      <c r="M649" s="152"/>
      <c r="N649" s="150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</row>
    <row r="650" customFormat="false" ht="11.25" hidden="false" customHeight="true" outlineLevel="0" collapsed="false">
      <c r="A650" s="89"/>
      <c r="B650" s="89"/>
      <c r="C650" s="89"/>
      <c r="D650" s="150"/>
      <c r="E650" s="152"/>
      <c r="F650" s="151"/>
      <c r="G650" s="151"/>
      <c r="H650" s="151"/>
      <c r="I650" s="151"/>
      <c r="J650" s="152"/>
      <c r="K650" s="152"/>
      <c r="L650" s="152"/>
      <c r="M650" s="152"/>
      <c r="N650" s="150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</row>
    <row r="651" customFormat="false" ht="11.25" hidden="false" customHeight="true" outlineLevel="0" collapsed="false">
      <c r="A651" s="89"/>
      <c r="B651" s="89"/>
      <c r="C651" s="89"/>
      <c r="D651" s="150"/>
      <c r="E651" s="152"/>
      <c r="F651" s="151"/>
      <c r="G651" s="151"/>
      <c r="H651" s="151"/>
      <c r="I651" s="151"/>
      <c r="J651" s="152"/>
      <c r="K651" s="152"/>
      <c r="L651" s="152"/>
      <c r="M651" s="152"/>
      <c r="N651" s="150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</row>
    <row r="652" customFormat="false" ht="11.25" hidden="false" customHeight="true" outlineLevel="0" collapsed="false">
      <c r="A652" s="89"/>
      <c r="B652" s="89"/>
      <c r="C652" s="89"/>
      <c r="D652" s="150"/>
      <c r="E652" s="152"/>
      <c r="F652" s="151"/>
      <c r="G652" s="151"/>
      <c r="H652" s="151"/>
      <c r="I652" s="151"/>
      <c r="J652" s="152"/>
      <c r="K652" s="152"/>
      <c r="L652" s="152"/>
      <c r="M652" s="152"/>
      <c r="N652" s="150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</row>
    <row r="653" customFormat="false" ht="11.25" hidden="false" customHeight="true" outlineLevel="0" collapsed="false">
      <c r="A653" s="89"/>
      <c r="B653" s="89"/>
      <c r="C653" s="89"/>
      <c r="D653" s="150"/>
      <c r="E653" s="152"/>
      <c r="F653" s="151"/>
      <c r="G653" s="151"/>
      <c r="H653" s="151"/>
      <c r="I653" s="151"/>
      <c r="J653" s="152"/>
      <c r="K653" s="152"/>
      <c r="L653" s="152"/>
      <c r="M653" s="152"/>
      <c r="N653" s="150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</row>
    <row r="654" customFormat="false" ht="11.25" hidden="false" customHeight="true" outlineLevel="0" collapsed="false">
      <c r="A654" s="89"/>
      <c r="B654" s="89"/>
      <c r="C654" s="89"/>
      <c r="D654" s="150"/>
      <c r="E654" s="152"/>
      <c r="F654" s="151"/>
      <c r="G654" s="151"/>
      <c r="H654" s="151"/>
      <c r="I654" s="151"/>
      <c r="J654" s="152"/>
      <c r="K654" s="152"/>
      <c r="L654" s="152"/>
      <c r="M654" s="152"/>
      <c r="N654" s="150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</row>
    <row r="655" customFormat="false" ht="11.25" hidden="false" customHeight="true" outlineLevel="0" collapsed="false">
      <c r="A655" s="89"/>
      <c r="B655" s="89"/>
      <c r="C655" s="89"/>
      <c r="D655" s="150"/>
      <c r="E655" s="152"/>
      <c r="F655" s="151"/>
      <c r="G655" s="151"/>
      <c r="H655" s="151"/>
      <c r="I655" s="151"/>
      <c r="J655" s="152"/>
      <c r="K655" s="152"/>
      <c r="L655" s="152"/>
      <c r="M655" s="152"/>
      <c r="N655" s="150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</row>
    <row r="656" customFormat="false" ht="11.25" hidden="false" customHeight="true" outlineLevel="0" collapsed="false">
      <c r="A656" s="89"/>
      <c r="B656" s="89"/>
      <c r="C656" s="89"/>
      <c r="D656" s="150"/>
      <c r="E656" s="152"/>
      <c r="F656" s="151"/>
      <c r="G656" s="151"/>
      <c r="H656" s="151"/>
      <c r="I656" s="151"/>
      <c r="J656" s="152"/>
      <c r="K656" s="152"/>
      <c r="L656" s="152"/>
      <c r="M656" s="152"/>
      <c r="N656" s="150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</row>
    <row r="657" customFormat="false" ht="11.25" hidden="false" customHeight="true" outlineLevel="0" collapsed="false">
      <c r="A657" s="89"/>
      <c r="B657" s="89"/>
      <c r="C657" s="89"/>
      <c r="D657" s="150"/>
      <c r="E657" s="152"/>
      <c r="F657" s="151"/>
      <c r="G657" s="151"/>
      <c r="H657" s="151"/>
      <c r="I657" s="151"/>
      <c r="J657" s="152"/>
      <c r="K657" s="152"/>
      <c r="L657" s="152"/>
      <c r="M657" s="152"/>
      <c r="N657" s="150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</row>
    <row r="658" customFormat="false" ht="11.25" hidden="false" customHeight="true" outlineLevel="0" collapsed="false">
      <c r="A658" s="89"/>
      <c r="B658" s="89"/>
      <c r="C658" s="89"/>
      <c r="D658" s="150"/>
      <c r="E658" s="152"/>
      <c r="F658" s="151"/>
      <c r="G658" s="151"/>
      <c r="H658" s="151"/>
      <c r="I658" s="151"/>
      <c r="J658" s="152"/>
      <c r="K658" s="152"/>
      <c r="L658" s="152"/>
      <c r="M658" s="152"/>
      <c r="N658" s="150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</row>
    <row r="659" customFormat="false" ht="11.25" hidden="false" customHeight="true" outlineLevel="0" collapsed="false">
      <c r="A659" s="89"/>
      <c r="B659" s="89"/>
      <c r="C659" s="89"/>
      <c r="D659" s="150"/>
      <c r="E659" s="152"/>
      <c r="F659" s="151"/>
      <c r="G659" s="151"/>
      <c r="H659" s="151"/>
      <c r="I659" s="151"/>
      <c r="J659" s="152"/>
      <c r="K659" s="152"/>
      <c r="L659" s="152"/>
      <c r="M659" s="152"/>
      <c r="N659" s="150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</row>
    <row r="660" customFormat="false" ht="11.25" hidden="false" customHeight="true" outlineLevel="0" collapsed="false">
      <c r="A660" s="89"/>
      <c r="B660" s="89"/>
      <c r="C660" s="89"/>
      <c r="D660" s="150"/>
      <c r="E660" s="152"/>
      <c r="F660" s="151"/>
      <c r="G660" s="151"/>
      <c r="H660" s="151"/>
      <c r="I660" s="151"/>
      <c r="J660" s="152"/>
      <c r="K660" s="152"/>
      <c r="L660" s="152"/>
      <c r="M660" s="152"/>
      <c r="N660" s="150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</row>
    <row r="661" customFormat="false" ht="11.25" hidden="false" customHeight="true" outlineLevel="0" collapsed="false">
      <c r="A661" s="89"/>
      <c r="B661" s="89"/>
      <c r="C661" s="89"/>
      <c r="D661" s="150"/>
      <c r="E661" s="152"/>
      <c r="F661" s="151"/>
      <c r="G661" s="151"/>
      <c r="H661" s="151"/>
      <c r="I661" s="151"/>
      <c r="J661" s="152"/>
      <c r="K661" s="152"/>
      <c r="L661" s="152"/>
      <c r="M661" s="152"/>
      <c r="N661" s="150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</row>
    <row r="662" customFormat="false" ht="11.25" hidden="false" customHeight="true" outlineLevel="0" collapsed="false">
      <c r="A662" s="89"/>
      <c r="B662" s="89"/>
      <c r="C662" s="89"/>
      <c r="D662" s="150"/>
      <c r="E662" s="152"/>
      <c r="F662" s="151"/>
      <c r="G662" s="151"/>
      <c r="H662" s="151"/>
      <c r="I662" s="151"/>
      <c r="J662" s="152"/>
      <c r="K662" s="152"/>
      <c r="L662" s="152"/>
      <c r="M662" s="152"/>
      <c r="N662" s="150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</row>
    <row r="663" customFormat="false" ht="11.25" hidden="false" customHeight="true" outlineLevel="0" collapsed="false">
      <c r="A663" s="89"/>
      <c r="B663" s="89"/>
      <c r="C663" s="89"/>
      <c r="D663" s="150"/>
      <c r="E663" s="152"/>
      <c r="F663" s="151"/>
      <c r="G663" s="151"/>
      <c r="H663" s="151"/>
      <c r="I663" s="151"/>
      <c r="J663" s="152"/>
      <c r="K663" s="152"/>
      <c r="L663" s="152"/>
      <c r="M663" s="152"/>
      <c r="N663" s="150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</row>
    <row r="664" customFormat="false" ht="11.25" hidden="false" customHeight="true" outlineLevel="0" collapsed="false">
      <c r="A664" s="89"/>
      <c r="B664" s="89"/>
      <c r="C664" s="89"/>
      <c r="D664" s="150"/>
      <c r="E664" s="152"/>
      <c r="F664" s="151"/>
      <c r="G664" s="151"/>
      <c r="H664" s="151"/>
      <c r="I664" s="151"/>
      <c r="J664" s="152"/>
      <c r="K664" s="152"/>
      <c r="L664" s="152"/>
      <c r="M664" s="152"/>
      <c r="N664" s="150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</row>
    <row r="665" customFormat="false" ht="11.25" hidden="false" customHeight="true" outlineLevel="0" collapsed="false">
      <c r="A665" s="89"/>
      <c r="B665" s="89"/>
      <c r="C665" s="89"/>
      <c r="D665" s="150"/>
      <c r="E665" s="152"/>
      <c r="F665" s="151"/>
      <c r="G665" s="151"/>
      <c r="H665" s="151"/>
      <c r="I665" s="151"/>
      <c r="J665" s="152"/>
      <c r="K665" s="152"/>
      <c r="L665" s="152"/>
      <c r="M665" s="152"/>
      <c r="N665" s="150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</row>
    <row r="666" customFormat="false" ht="11.25" hidden="false" customHeight="true" outlineLevel="0" collapsed="false">
      <c r="A666" s="89"/>
      <c r="B666" s="89"/>
      <c r="C666" s="89"/>
      <c r="D666" s="150"/>
      <c r="E666" s="152"/>
      <c r="F666" s="151"/>
      <c r="G666" s="151"/>
      <c r="H666" s="151"/>
      <c r="I666" s="151"/>
      <c r="J666" s="152"/>
      <c r="K666" s="152"/>
      <c r="L666" s="152"/>
      <c r="M666" s="152"/>
      <c r="N666" s="150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</row>
    <row r="667" customFormat="false" ht="11.25" hidden="false" customHeight="true" outlineLevel="0" collapsed="false">
      <c r="A667" s="89"/>
      <c r="B667" s="89"/>
      <c r="C667" s="89"/>
      <c r="D667" s="150"/>
      <c r="E667" s="152"/>
      <c r="F667" s="151"/>
      <c r="G667" s="151"/>
      <c r="H667" s="151"/>
      <c r="I667" s="151"/>
      <c r="J667" s="152"/>
      <c r="K667" s="152"/>
      <c r="L667" s="152"/>
      <c r="M667" s="152"/>
      <c r="N667" s="150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</row>
    <row r="668" customFormat="false" ht="11.25" hidden="false" customHeight="true" outlineLevel="0" collapsed="false">
      <c r="A668" s="89"/>
      <c r="B668" s="89"/>
      <c r="C668" s="89"/>
      <c r="D668" s="150"/>
      <c r="E668" s="152"/>
      <c r="F668" s="151"/>
      <c r="G668" s="151"/>
      <c r="H668" s="151"/>
      <c r="I668" s="151"/>
      <c r="J668" s="152"/>
      <c r="K668" s="152"/>
      <c r="L668" s="152"/>
      <c r="M668" s="152"/>
      <c r="N668" s="150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</row>
    <row r="669" customFormat="false" ht="11.25" hidden="false" customHeight="true" outlineLevel="0" collapsed="false">
      <c r="A669" s="89"/>
      <c r="B669" s="89"/>
      <c r="C669" s="89"/>
      <c r="D669" s="150"/>
      <c r="E669" s="152"/>
      <c r="F669" s="151"/>
      <c r="G669" s="151"/>
      <c r="H669" s="151"/>
      <c r="I669" s="151"/>
      <c r="J669" s="152"/>
      <c r="K669" s="152"/>
      <c r="L669" s="152"/>
      <c r="M669" s="152"/>
      <c r="N669" s="150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</row>
    <row r="670" customFormat="false" ht="11.25" hidden="false" customHeight="true" outlineLevel="0" collapsed="false">
      <c r="A670" s="89"/>
      <c r="B670" s="89"/>
      <c r="C670" s="89"/>
      <c r="D670" s="150"/>
      <c r="E670" s="152"/>
      <c r="F670" s="151"/>
      <c r="G670" s="151"/>
      <c r="H670" s="151"/>
      <c r="I670" s="151"/>
      <c r="J670" s="152"/>
      <c r="K670" s="152"/>
      <c r="L670" s="152"/>
      <c r="M670" s="152"/>
      <c r="N670" s="150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</row>
    <row r="671" customFormat="false" ht="11.25" hidden="false" customHeight="true" outlineLevel="0" collapsed="false">
      <c r="A671" s="89"/>
      <c r="B671" s="89"/>
      <c r="C671" s="89"/>
      <c r="D671" s="150"/>
      <c r="E671" s="152"/>
      <c r="F671" s="151"/>
      <c r="G671" s="151"/>
      <c r="H671" s="151"/>
      <c r="I671" s="151"/>
      <c r="J671" s="152"/>
      <c r="K671" s="152"/>
      <c r="L671" s="152"/>
      <c r="M671" s="152"/>
      <c r="N671" s="150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</row>
    <row r="672" customFormat="false" ht="11.25" hidden="false" customHeight="true" outlineLevel="0" collapsed="false">
      <c r="A672" s="89"/>
      <c r="B672" s="89"/>
      <c r="C672" s="89"/>
      <c r="D672" s="150"/>
      <c r="E672" s="152"/>
      <c r="F672" s="151"/>
      <c r="G672" s="151"/>
      <c r="H672" s="151"/>
      <c r="I672" s="151"/>
      <c r="J672" s="152"/>
      <c r="K672" s="152"/>
      <c r="L672" s="152"/>
      <c r="M672" s="152"/>
      <c r="N672" s="150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</row>
    <row r="673" customFormat="false" ht="11.25" hidden="false" customHeight="true" outlineLevel="0" collapsed="false">
      <c r="A673" s="89"/>
      <c r="B673" s="89"/>
      <c r="C673" s="89"/>
      <c r="D673" s="150"/>
      <c r="E673" s="152"/>
      <c r="F673" s="151"/>
      <c r="G673" s="151"/>
      <c r="H673" s="151"/>
      <c r="I673" s="151"/>
      <c r="J673" s="152"/>
      <c r="K673" s="152"/>
      <c r="L673" s="152"/>
      <c r="M673" s="152"/>
      <c r="N673" s="150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</row>
    <row r="674" customFormat="false" ht="11.25" hidden="false" customHeight="true" outlineLevel="0" collapsed="false">
      <c r="A674" s="89"/>
      <c r="B674" s="89"/>
      <c r="C674" s="89"/>
      <c r="D674" s="150"/>
      <c r="E674" s="152"/>
      <c r="F674" s="151"/>
      <c r="G674" s="151"/>
      <c r="H674" s="151"/>
      <c r="I674" s="151"/>
      <c r="J674" s="152"/>
      <c r="K674" s="152"/>
      <c r="L674" s="152"/>
      <c r="M674" s="152"/>
      <c r="N674" s="150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</row>
    <row r="675" customFormat="false" ht="11.25" hidden="false" customHeight="true" outlineLevel="0" collapsed="false">
      <c r="A675" s="89"/>
      <c r="B675" s="89"/>
      <c r="C675" s="89"/>
      <c r="D675" s="150"/>
      <c r="E675" s="152"/>
      <c r="F675" s="151"/>
      <c r="G675" s="151"/>
      <c r="H675" s="151"/>
      <c r="I675" s="151"/>
      <c r="J675" s="152"/>
      <c r="K675" s="152"/>
      <c r="L675" s="152"/>
      <c r="M675" s="152"/>
      <c r="N675" s="150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</row>
    <row r="676" customFormat="false" ht="11.25" hidden="false" customHeight="true" outlineLevel="0" collapsed="false">
      <c r="A676" s="89"/>
      <c r="B676" s="89"/>
      <c r="C676" s="89"/>
      <c r="D676" s="150"/>
      <c r="E676" s="152"/>
      <c r="F676" s="151"/>
      <c r="G676" s="151"/>
      <c r="H676" s="151"/>
      <c r="I676" s="151"/>
      <c r="J676" s="152"/>
      <c r="K676" s="152"/>
      <c r="L676" s="152"/>
      <c r="M676" s="152"/>
      <c r="N676" s="150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</row>
    <row r="677" customFormat="false" ht="11.25" hidden="false" customHeight="true" outlineLevel="0" collapsed="false">
      <c r="A677" s="89"/>
      <c r="B677" s="89"/>
      <c r="C677" s="89"/>
      <c r="D677" s="150"/>
      <c r="E677" s="152"/>
      <c r="F677" s="151"/>
      <c r="G677" s="151"/>
      <c r="H677" s="151"/>
      <c r="I677" s="151"/>
      <c r="J677" s="152"/>
      <c r="K677" s="152"/>
      <c r="L677" s="152"/>
      <c r="M677" s="152"/>
      <c r="N677" s="150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</row>
    <row r="678" customFormat="false" ht="11.25" hidden="false" customHeight="true" outlineLevel="0" collapsed="false">
      <c r="A678" s="89"/>
      <c r="B678" s="89"/>
      <c r="C678" s="89"/>
      <c r="D678" s="150"/>
      <c r="E678" s="152"/>
      <c r="F678" s="151"/>
      <c r="G678" s="151"/>
      <c r="H678" s="151"/>
      <c r="I678" s="151"/>
      <c r="J678" s="152"/>
      <c r="K678" s="152"/>
      <c r="L678" s="152"/>
      <c r="M678" s="152"/>
      <c r="N678" s="150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</row>
    <row r="679" customFormat="false" ht="11.25" hidden="false" customHeight="true" outlineLevel="0" collapsed="false">
      <c r="A679" s="89"/>
      <c r="B679" s="89"/>
      <c r="C679" s="89"/>
      <c r="D679" s="150"/>
      <c r="E679" s="152"/>
      <c r="F679" s="151"/>
      <c r="G679" s="151"/>
      <c r="H679" s="151"/>
      <c r="I679" s="151"/>
      <c r="J679" s="152"/>
      <c r="K679" s="152"/>
      <c r="L679" s="152"/>
      <c r="M679" s="152"/>
      <c r="N679" s="150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</row>
    <row r="680" customFormat="false" ht="11.25" hidden="false" customHeight="true" outlineLevel="0" collapsed="false">
      <c r="A680" s="89"/>
      <c r="B680" s="89"/>
      <c r="C680" s="89"/>
      <c r="D680" s="150"/>
      <c r="E680" s="152"/>
      <c r="F680" s="151"/>
      <c r="G680" s="151"/>
      <c r="H680" s="151"/>
      <c r="I680" s="151"/>
      <c r="J680" s="152"/>
      <c r="K680" s="152"/>
      <c r="L680" s="152"/>
      <c r="M680" s="152"/>
      <c r="N680" s="150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</row>
    <row r="681" customFormat="false" ht="11.25" hidden="false" customHeight="true" outlineLevel="0" collapsed="false">
      <c r="A681" s="89"/>
      <c r="B681" s="89"/>
      <c r="C681" s="89"/>
      <c r="D681" s="150"/>
      <c r="E681" s="152"/>
      <c r="F681" s="151"/>
      <c r="G681" s="151"/>
      <c r="H681" s="151"/>
      <c r="I681" s="151"/>
      <c r="J681" s="152"/>
      <c r="K681" s="152"/>
      <c r="L681" s="152"/>
      <c r="M681" s="152"/>
      <c r="N681" s="150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</row>
    <row r="682" customFormat="false" ht="11.25" hidden="false" customHeight="true" outlineLevel="0" collapsed="false">
      <c r="A682" s="89"/>
      <c r="B682" s="89"/>
      <c r="C682" s="89"/>
      <c r="D682" s="150"/>
      <c r="E682" s="152"/>
      <c r="F682" s="151"/>
      <c r="G682" s="151"/>
      <c r="H682" s="151"/>
      <c r="I682" s="151"/>
      <c r="J682" s="152"/>
      <c r="K682" s="152"/>
      <c r="L682" s="152"/>
      <c r="M682" s="152"/>
      <c r="N682" s="150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</row>
    <row r="683" customFormat="false" ht="11.25" hidden="false" customHeight="true" outlineLevel="0" collapsed="false">
      <c r="A683" s="89"/>
      <c r="B683" s="89"/>
      <c r="C683" s="89"/>
      <c r="D683" s="150"/>
      <c r="E683" s="152"/>
      <c r="F683" s="151"/>
      <c r="G683" s="151"/>
      <c r="H683" s="151"/>
      <c r="I683" s="151"/>
      <c r="J683" s="152"/>
      <c r="K683" s="152"/>
      <c r="L683" s="152"/>
      <c r="M683" s="152"/>
      <c r="N683" s="150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</row>
    <row r="684" customFormat="false" ht="11.25" hidden="false" customHeight="true" outlineLevel="0" collapsed="false">
      <c r="A684" s="89"/>
      <c r="B684" s="89"/>
      <c r="C684" s="89"/>
      <c r="D684" s="150"/>
      <c r="E684" s="152"/>
      <c r="F684" s="151"/>
      <c r="G684" s="151"/>
      <c r="H684" s="151"/>
      <c r="I684" s="151"/>
      <c r="J684" s="152"/>
      <c r="K684" s="152"/>
      <c r="L684" s="152"/>
      <c r="M684" s="152"/>
      <c r="N684" s="150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</row>
    <row r="685" customFormat="false" ht="11.25" hidden="false" customHeight="true" outlineLevel="0" collapsed="false">
      <c r="A685" s="89"/>
      <c r="B685" s="89"/>
      <c r="C685" s="89"/>
      <c r="D685" s="150"/>
      <c r="E685" s="152"/>
      <c r="F685" s="151"/>
      <c r="G685" s="151"/>
      <c r="H685" s="151"/>
      <c r="I685" s="151"/>
      <c r="J685" s="152"/>
      <c r="K685" s="152"/>
      <c r="L685" s="152"/>
      <c r="M685" s="152"/>
      <c r="N685" s="150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</row>
    <row r="686" customFormat="false" ht="11.25" hidden="false" customHeight="true" outlineLevel="0" collapsed="false">
      <c r="A686" s="89"/>
      <c r="B686" s="89"/>
      <c r="C686" s="89"/>
      <c r="D686" s="150"/>
      <c r="E686" s="152"/>
      <c r="F686" s="151"/>
      <c r="G686" s="151"/>
      <c r="H686" s="151"/>
      <c r="I686" s="151"/>
      <c r="J686" s="152"/>
      <c r="K686" s="152"/>
      <c r="L686" s="152"/>
      <c r="M686" s="152"/>
      <c r="N686" s="150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</row>
    <row r="687" customFormat="false" ht="11.25" hidden="false" customHeight="true" outlineLevel="0" collapsed="false">
      <c r="A687" s="89"/>
      <c r="B687" s="89"/>
      <c r="C687" s="89"/>
      <c r="D687" s="150"/>
      <c r="E687" s="152"/>
      <c r="F687" s="151"/>
      <c r="G687" s="151"/>
      <c r="H687" s="151"/>
      <c r="I687" s="151"/>
      <c r="J687" s="152"/>
      <c r="K687" s="152"/>
      <c r="L687" s="152"/>
      <c r="M687" s="152"/>
      <c r="N687" s="150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</row>
    <row r="688" customFormat="false" ht="11.25" hidden="false" customHeight="true" outlineLevel="0" collapsed="false">
      <c r="A688" s="89"/>
      <c r="B688" s="89"/>
      <c r="C688" s="89"/>
      <c r="D688" s="150"/>
      <c r="E688" s="152"/>
      <c r="F688" s="151"/>
      <c r="G688" s="151"/>
      <c r="H688" s="151"/>
      <c r="I688" s="151"/>
      <c r="J688" s="152"/>
      <c r="K688" s="152"/>
      <c r="L688" s="152"/>
      <c r="M688" s="152"/>
      <c r="N688" s="150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</row>
    <row r="689" customFormat="false" ht="11.25" hidden="false" customHeight="true" outlineLevel="0" collapsed="false">
      <c r="A689" s="89"/>
      <c r="B689" s="89"/>
      <c r="C689" s="89"/>
      <c r="D689" s="150"/>
      <c r="E689" s="152"/>
      <c r="F689" s="151"/>
      <c r="G689" s="151"/>
      <c r="H689" s="151"/>
      <c r="I689" s="151"/>
      <c r="J689" s="152"/>
      <c r="K689" s="152"/>
      <c r="L689" s="152"/>
      <c r="M689" s="152"/>
      <c r="N689" s="150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</row>
    <row r="690" customFormat="false" ht="11.25" hidden="false" customHeight="true" outlineLevel="0" collapsed="false">
      <c r="A690" s="89"/>
      <c r="B690" s="89"/>
      <c r="C690" s="89"/>
      <c r="D690" s="150"/>
      <c r="E690" s="152"/>
      <c r="F690" s="151"/>
      <c r="G690" s="151"/>
      <c r="H690" s="151"/>
      <c r="I690" s="151"/>
      <c r="J690" s="152"/>
      <c r="K690" s="152"/>
      <c r="L690" s="152"/>
      <c r="M690" s="152"/>
      <c r="N690" s="150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</row>
    <row r="691" customFormat="false" ht="11.25" hidden="false" customHeight="true" outlineLevel="0" collapsed="false">
      <c r="A691" s="89"/>
      <c r="B691" s="89"/>
      <c r="C691" s="89"/>
      <c r="D691" s="150"/>
      <c r="E691" s="152"/>
      <c r="F691" s="151"/>
      <c r="G691" s="151"/>
      <c r="H691" s="151"/>
      <c r="I691" s="151"/>
      <c r="J691" s="152"/>
      <c r="K691" s="152"/>
      <c r="L691" s="152"/>
      <c r="M691" s="152"/>
      <c r="N691" s="150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</row>
    <row r="692" customFormat="false" ht="11.25" hidden="false" customHeight="true" outlineLevel="0" collapsed="false">
      <c r="A692" s="89"/>
      <c r="B692" s="89"/>
      <c r="C692" s="89"/>
      <c r="D692" s="150"/>
      <c r="E692" s="152"/>
      <c r="F692" s="151"/>
      <c r="G692" s="151"/>
      <c r="H692" s="151"/>
      <c r="I692" s="151"/>
      <c r="J692" s="152"/>
      <c r="K692" s="152"/>
      <c r="L692" s="152"/>
      <c r="M692" s="152"/>
      <c r="N692" s="150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</row>
    <row r="693" customFormat="false" ht="11.25" hidden="false" customHeight="true" outlineLevel="0" collapsed="false">
      <c r="A693" s="89"/>
      <c r="B693" s="89"/>
      <c r="C693" s="89"/>
      <c r="D693" s="150"/>
      <c r="E693" s="152"/>
      <c r="F693" s="151"/>
      <c r="G693" s="151"/>
      <c r="H693" s="151"/>
      <c r="I693" s="151"/>
      <c r="J693" s="152"/>
      <c r="K693" s="152"/>
      <c r="L693" s="152"/>
      <c r="M693" s="152"/>
      <c r="N693" s="150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</row>
    <row r="694" customFormat="false" ht="11.25" hidden="false" customHeight="true" outlineLevel="0" collapsed="false">
      <c r="A694" s="89"/>
      <c r="B694" s="89"/>
      <c r="C694" s="89"/>
      <c r="D694" s="150"/>
      <c r="E694" s="152"/>
      <c r="F694" s="151"/>
      <c r="G694" s="151"/>
      <c r="H694" s="151"/>
      <c r="I694" s="151"/>
      <c r="J694" s="152"/>
      <c r="K694" s="152"/>
      <c r="L694" s="152"/>
      <c r="M694" s="152"/>
      <c r="N694" s="150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</row>
    <row r="695" customFormat="false" ht="11.25" hidden="false" customHeight="true" outlineLevel="0" collapsed="false">
      <c r="A695" s="89"/>
      <c r="B695" s="89"/>
      <c r="C695" s="89"/>
      <c r="D695" s="150"/>
      <c r="E695" s="152"/>
      <c r="F695" s="151"/>
      <c r="G695" s="151"/>
      <c r="H695" s="151"/>
      <c r="I695" s="151"/>
      <c r="J695" s="152"/>
      <c r="K695" s="152"/>
      <c r="L695" s="152"/>
      <c r="M695" s="152"/>
      <c r="N695" s="150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</row>
    <row r="696" customFormat="false" ht="11.25" hidden="false" customHeight="true" outlineLevel="0" collapsed="false">
      <c r="A696" s="89"/>
      <c r="B696" s="89"/>
      <c r="C696" s="89"/>
      <c r="D696" s="150"/>
      <c r="E696" s="152"/>
      <c r="F696" s="151"/>
      <c r="G696" s="151"/>
      <c r="H696" s="151"/>
      <c r="I696" s="151"/>
      <c r="J696" s="152"/>
      <c r="K696" s="152"/>
      <c r="L696" s="152"/>
      <c r="M696" s="152"/>
      <c r="N696" s="150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</row>
    <row r="697" customFormat="false" ht="11.25" hidden="false" customHeight="true" outlineLevel="0" collapsed="false">
      <c r="A697" s="89"/>
      <c r="B697" s="89"/>
      <c r="C697" s="89"/>
      <c r="D697" s="150"/>
      <c r="E697" s="152"/>
      <c r="F697" s="151"/>
      <c r="G697" s="151"/>
      <c r="H697" s="151"/>
      <c r="I697" s="151"/>
      <c r="J697" s="152"/>
      <c r="K697" s="152"/>
      <c r="L697" s="152"/>
      <c r="M697" s="152"/>
      <c r="N697" s="150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</row>
    <row r="698" customFormat="false" ht="11.25" hidden="false" customHeight="true" outlineLevel="0" collapsed="false">
      <c r="A698" s="89"/>
      <c r="B698" s="89"/>
      <c r="C698" s="89"/>
      <c r="D698" s="150"/>
      <c r="E698" s="152"/>
      <c r="F698" s="151"/>
      <c r="G698" s="151"/>
      <c r="H698" s="151"/>
      <c r="I698" s="151"/>
      <c r="J698" s="152"/>
      <c r="K698" s="152"/>
      <c r="L698" s="152"/>
      <c r="M698" s="152"/>
      <c r="N698" s="150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</row>
    <row r="699" customFormat="false" ht="11.25" hidden="false" customHeight="true" outlineLevel="0" collapsed="false">
      <c r="A699" s="89"/>
      <c r="B699" s="89"/>
      <c r="C699" s="89"/>
      <c r="D699" s="150"/>
      <c r="E699" s="152"/>
      <c r="F699" s="151"/>
      <c r="G699" s="151"/>
      <c r="H699" s="151"/>
      <c r="I699" s="151"/>
      <c r="J699" s="152"/>
      <c r="K699" s="152"/>
      <c r="L699" s="152"/>
      <c r="M699" s="152"/>
      <c r="N699" s="150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</row>
    <row r="700" customFormat="false" ht="11.25" hidden="false" customHeight="true" outlineLevel="0" collapsed="false">
      <c r="A700" s="89"/>
      <c r="B700" s="89"/>
      <c r="C700" s="89"/>
      <c r="D700" s="150"/>
      <c r="E700" s="152"/>
      <c r="F700" s="151"/>
      <c r="G700" s="151"/>
      <c r="H700" s="151"/>
      <c r="I700" s="151"/>
      <c r="J700" s="152"/>
      <c r="K700" s="152"/>
      <c r="L700" s="152"/>
      <c r="M700" s="152"/>
      <c r="N700" s="150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</row>
    <row r="701" customFormat="false" ht="11.25" hidden="false" customHeight="true" outlineLevel="0" collapsed="false">
      <c r="A701" s="89"/>
      <c r="B701" s="89"/>
      <c r="C701" s="89"/>
      <c r="D701" s="150"/>
      <c r="E701" s="152"/>
      <c r="F701" s="151"/>
      <c r="G701" s="151"/>
      <c r="H701" s="151"/>
      <c r="I701" s="151"/>
      <c r="J701" s="152"/>
      <c r="K701" s="152"/>
      <c r="L701" s="152"/>
      <c r="M701" s="152"/>
      <c r="N701" s="150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</row>
    <row r="702" customFormat="false" ht="11.25" hidden="false" customHeight="true" outlineLevel="0" collapsed="false">
      <c r="A702" s="89"/>
      <c r="B702" s="89"/>
      <c r="C702" s="89"/>
      <c r="D702" s="150"/>
      <c r="E702" s="152"/>
      <c r="F702" s="151"/>
      <c r="G702" s="151"/>
      <c r="H702" s="151"/>
      <c r="I702" s="151"/>
      <c r="J702" s="152"/>
      <c r="K702" s="152"/>
      <c r="L702" s="152"/>
      <c r="M702" s="152"/>
      <c r="N702" s="150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</row>
    <row r="703" customFormat="false" ht="11.25" hidden="false" customHeight="true" outlineLevel="0" collapsed="false">
      <c r="A703" s="89"/>
      <c r="B703" s="89"/>
      <c r="C703" s="89"/>
      <c r="D703" s="150"/>
      <c r="E703" s="152"/>
      <c r="F703" s="151"/>
      <c r="G703" s="151"/>
      <c r="H703" s="151"/>
      <c r="I703" s="151"/>
      <c r="J703" s="152"/>
      <c r="K703" s="152"/>
      <c r="L703" s="152"/>
      <c r="M703" s="152"/>
      <c r="N703" s="150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</row>
    <row r="704" customFormat="false" ht="11.25" hidden="false" customHeight="true" outlineLevel="0" collapsed="false">
      <c r="A704" s="89"/>
      <c r="B704" s="89"/>
      <c r="C704" s="89"/>
      <c r="D704" s="150"/>
      <c r="E704" s="152"/>
      <c r="F704" s="151"/>
      <c r="G704" s="151"/>
      <c r="H704" s="151"/>
      <c r="I704" s="151"/>
      <c r="J704" s="152"/>
      <c r="K704" s="152"/>
      <c r="L704" s="152"/>
      <c r="M704" s="152"/>
      <c r="N704" s="150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</row>
    <row r="705" customFormat="false" ht="11.25" hidden="false" customHeight="true" outlineLevel="0" collapsed="false">
      <c r="A705" s="89"/>
      <c r="B705" s="89"/>
      <c r="C705" s="89"/>
      <c r="D705" s="150"/>
      <c r="E705" s="152"/>
      <c r="F705" s="151"/>
      <c r="G705" s="151"/>
      <c r="H705" s="151"/>
      <c r="I705" s="151"/>
      <c r="J705" s="152"/>
      <c r="K705" s="152"/>
      <c r="L705" s="152"/>
      <c r="M705" s="152"/>
      <c r="N705" s="150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</row>
    <row r="706" customFormat="false" ht="11.25" hidden="false" customHeight="true" outlineLevel="0" collapsed="false">
      <c r="A706" s="89"/>
      <c r="B706" s="89"/>
      <c r="C706" s="89"/>
      <c r="D706" s="150"/>
      <c r="E706" s="152"/>
      <c r="F706" s="151"/>
      <c r="G706" s="151"/>
      <c r="H706" s="151"/>
      <c r="I706" s="151"/>
      <c r="J706" s="152"/>
      <c r="K706" s="152"/>
      <c r="L706" s="152"/>
      <c r="M706" s="152"/>
      <c r="N706" s="150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</row>
    <row r="707" customFormat="false" ht="11.25" hidden="false" customHeight="true" outlineLevel="0" collapsed="false">
      <c r="A707" s="89"/>
      <c r="B707" s="89"/>
      <c r="C707" s="89"/>
      <c r="D707" s="150"/>
      <c r="E707" s="152"/>
      <c r="F707" s="151"/>
      <c r="G707" s="151"/>
      <c r="H707" s="151"/>
      <c r="I707" s="151"/>
      <c r="J707" s="152"/>
      <c r="K707" s="152"/>
      <c r="L707" s="152"/>
      <c r="M707" s="152"/>
      <c r="N707" s="150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</row>
    <row r="708" customFormat="false" ht="11.25" hidden="false" customHeight="true" outlineLevel="0" collapsed="false">
      <c r="A708" s="89"/>
      <c r="B708" s="89"/>
      <c r="C708" s="89"/>
      <c r="D708" s="150"/>
      <c r="E708" s="152"/>
      <c r="F708" s="151"/>
      <c r="G708" s="151"/>
      <c r="H708" s="151"/>
      <c r="I708" s="151"/>
      <c r="J708" s="152"/>
      <c r="K708" s="152"/>
      <c r="L708" s="152"/>
      <c r="M708" s="152"/>
      <c r="N708" s="150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</row>
    <row r="709" customFormat="false" ht="11.25" hidden="false" customHeight="true" outlineLevel="0" collapsed="false">
      <c r="A709" s="89"/>
      <c r="B709" s="89"/>
      <c r="C709" s="89"/>
      <c r="D709" s="150"/>
      <c r="E709" s="152"/>
      <c r="F709" s="151"/>
      <c r="G709" s="151"/>
      <c r="H709" s="151"/>
      <c r="I709" s="151"/>
      <c r="J709" s="152"/>
      <c r="K709" s="152"/>
      <c r="L709" s="152"/>
      <c r="M709" s="152"/>
      <c r="N709" s="150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</row>
    <row r="710" customFormat="false" ht="11.25" hidden="false" customHeight="true" outlineLevel="0" collapsed="false">
      <c r="A710" s="89"/>
      <c r="B710" s="89"/>
      <c r="C710" s="89"/>
      <c r="D710" s="150"/>
      <c r="E710" s="152"/>
      <c r="F710" s="151"/>
      <c r="G710" s="151"/>
      <c r="H710" s="151"/>
      <c r="I710" s="151"/>
      <c r="J710" s="152"/>
      <c r="K710" s="152"/>
      <c r="L710" s="152"/>
      <c r="M710" s="152"/>
      <c r="N710" s="150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</row>
    <row r="711" customFormat="false" ht="11.25" hidden="false" customHeight="true" outlineLevel="0" collapsed="false">
      <c r="A711" s="89"/>
      <c r="B711" s="89"/>
      <c r="C711" s="89"/>
      <c r="D711" s="150"/>
      <c r="E711" s="152"/>
      <c r="F711" s="151"/>
      <c r="G711" s="151"/>
      <c r="H711" s="151"/>
      <c r="I711" s="151"/>
      <c r="J711" s="152"/>
      <c r="K711" s="152"/>
      <c r="L711" s="152"/>
      <c r="M711" s="152"/>
      <c r="N711" s="150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</row>
    <row r="712" customFormat="false" ht="11.25" hidden="false" customHeight="true" outlineLevel="0" collapsed="false">
      <c r="A712" s="89"/>
      <c r="B712" s="89"/>
      <c r="C712" s="89"/>
      <c r="D712" s="150"/>
      <c r="E712" s="152"/>
      <c r="F712" s="151"/>
      <c r="G712" s="151"/>
      <c r="H712" s="151"/>
      <c r="I712" s="151"/>
      <c r="J712" s="152"/>
      <c r="K712" s="152"/>
      <c r="L712" s="152"/>
      <c r="M712" s="152"/>
      <c r="N712" s="150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</row>
    <row r="713" customFormat="false" ht="11.25" hidden="false" customHeight="true" outlineLevel="0" collapsed="false">
      <c r="A713" s="89"/>
      <c r="B713" s="89"/>
      <c r="C713" s="89"/>
      <c r="D713" s="150"/>
      <c r="E713" s="152"/>
      <c r="F713" s="151"/>
      <c r="G713" s="151"/>
      <c r="H713" s="151"/>
      <c r="I713" s="151"/>
      <c r="J713" s="152"/>
      <c r="K713" s="152"/>
      <c r="L713" s="152"/>
      <c r="M713" s="152"/>
      <c r="N713" s="150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</row>
    <row r="714" customFormat="false" ht="11.25" hidden="false" customHeight="true" outlineLevel="0" collapsed="false">
      <c r="A714" s="89"/>
      <c r="B714" s="89"/>
      <c r="C714" s="89"/>
      <c r="D714" s="150"/>
      <c r="E714" s="152"/>
      <c r="F714" s="151"/>
      <c r="G714" s="151"/>
      <c r="H714" s="151"/>
      <c r="I714" s="151"/>
      <c r="J714" s="152"/>
      <c r="K714" s="152"/>
      <c r="L714" s="152"/>
      <c r="M714" s="152"/>
      <c r="N714" s="150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</row>
    <row r="715" customFormat="false" ht="11.25" hidden="false" customHeight="true" outlineLevel="0" collapsed="false">
      <c r="A715" s="89"/>
      <c r="B715" s="89"/>
      <c r="C715" s="89"/>
      <c r="D715" s="150"/>
      <c r="E715" s="152"/>
      <c r="F715" s="151"/>
      <c r="G715" s="151"/>
      <c r="H715" s="151"/>
      <c r="I715" s="151"/>
      <c r="J715" s="152"/>
      <c r="K715" s="152"/>
      <c r="L715" s="152"/>
      <c r="M715" s="152"/>
      <c r="N715" s="150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</row>
    <row r="716" customFormat="false" ht="11.25" hidden="false" customHeight="true" outlineLevel="0" collapsed="false">
      <c r="A716" s="89"/>
      <c r="B716" s="89"/>
      <c r="C716" s="89"/>
      <c r="D716" s="150"/>
      <c r="E716" s="152"/>
      <c r="F716" s="151"/>
      <c r="G716" s="151"/>
      <c r="H716" s="151"/>
      <c r="I716" s="151"/>
      <c r="J716" s="152"/>
      <c r="K716" s="152"/>
      <c r="L716" s="152"/>
      <c r="M716" s="152"/>
      <c r="N716" s="150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</row>
    <row r="717" customFormat="false" ht="11.25" hidden="false" customHeight="true" outlineLevel="0" collapsed="false">
      <c r="A717" s="89"/>
      <c r="B717" s="89"/>
      <c r="C717" s="89"/>
      <c r="D717" s="150"/>
      <c r="E717" s="152"/>
      <c r="F717" s="151"/>
      <c r="G717" s="151"/>
      <c r="H717" s="151"/>
      <c r="I717" s="151"/>
      <c r="J717" s="152"/>
      <c r="K717" s="152"/>
      <c r="L717" s="152"/>
      <c r="M717" s="152"/>
      <c r="N717" s="150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</row>
    <row r="718" customFormat="false" ht="11.25" hidden="false" customHeight="true" outlineLevel="0" collapsed="false">
      <c r="A718" s="89"/>
      <c r="B718" s="89"/>
      <c r="C718" s="89"/>
      <c r="D718" s="150"/>
      <c r="E718" s="152"/>
      <c r="F718" s="151"/>
      <c r="G718" s="151"/>
      <c r="H718" s="151"/>
      <c r="I718" s="151"/>
      <c r="J718" s="152"/>
      <c r="K718" s="152"/>
      <c r="L718" s="152"/>
      <c r="M718" s="152"/>
      <c r="N718" s="150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</row>
    <row r="719" customFormat="false" ht="11.25" hidden="false" customHeight="true" outlineLevel="0" collapsed="false">
      <c r="A719" s="89"/>
      <c r="B719" s="89"/>
      <c r="C719" s="89"/>
      <c r="D719" s="150"/>
      <c r="E719" s="152"/>
      <c r="F719" s="151"/>
      <c r="G719" s="151"/>
      <c r="H719" s="151"/>
      <c r="I719" s="151"/>
      <c r="J719" s="152"/>
      <c r="K719" s="152"/>
      <c r="L719" s="152"/>
      <c r="M719" s="152"/>
      <c r="N719" s="150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</row>
    <row r="720" customFormat="false" ht="11.25" hidden="false" customHeight="true" outlineLevel="0" collapsed="false">
      <c r="A720" s="89"/>
      <c r="B720" s="89"/>
      <c r="C720" s="89"/>
      <c r="D720" s="150"/>
      <c r="E720" s="152"/>
      <c r="F720" s="151"/>
      <c r="G720" s="151"/>
      <c r="H720" s="151"/>
      <c r="I720" s="151"/>
      <c r="J720" s="152"/>
      <c r="K720" s="152"/>
      <c r="L720" s="152"/>
      <c r="M720" s="152"/>
      <c r="N720" s="150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</row>
    <row r="721" customFormat="false" ht="11.25" hidden="false" customHeight="true" outlineLevel="0" collapsed="false">
      <c r="A721" s="89"/>
      <c r="B721" s="89"/>
      <c r="C721" s="89"/>
      <c r="D721" s="150"/>
      <c r="E721" s="152"/>
      <c r="F721" s="151"/>
      <c r="G721" s="151"/>
      <c r="H721" s="151"/>
      <c r="I721" s="151"/>
      <c r="J721" s="152"/>
      <c r="K721" s="152"/>
      <c r="L721" s="152"/>
      <c r="M721" s="152"/>
      <c r="N721" s="150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</row>
    <row r="722" customFormat="false" ht="11.25" hidden="false" customHeight="true" outlineLevel="0" collapsed="false">
      <c r="A722" s="89"/>
      <c r="B722" s="89"/>
      <c r="C722" s="89"/>
      <c r="D722" s="150"/>
      <c r="E722" s="152"/>
      <c r="F722" s="151"/>
      <c r="G722" s="151"/>
      <c r="H722" s="151"/>
      <c r="I722" s="151"/>
      <c r="J722" s="152"/>
      <c r="K722" s="152"/>
      <c r="L722" s="152"/>
      <c r="M722" s="152"/>
      <c r="N722" s="150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</row>
    <row r="723" customFormat="false" ht="11.25" hidden="false" customHeight="true" outlineLevel="0" collapsed="false">
      <c r="A723" s="89"/>
      <c r="B723" s="89"/>
      <c r="C723" s="89"/>
      <c r="D723" s="150"/>
      <c r="E723" s="152"/>
      <c r="F723" s="151"/>
      <c r="G723" s="151"/>
      <c r="H723" s="151"/>
      <c r="I723" s="151"/>
      <c r="J723" s="152"/>
      <c r="K723" s="152"/>
      <c r="L723" s="152"/>
      <c r="M723" s="152"/>
      <c r="N723" s="150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</row>
    <row r="724" customFormat="false" ht="11.25" hidden="false" customHeight="true" outlineLevel="0" collapsed="false">
      <c r="A724" s="89"/>
      <c r="B724" s="89"/>
      <c r="C724" s="89"/>
      <c r="D724" s="150"/>
      <c r="E724" s="152"/>
      <c r="F724" s="151"/>
      <c r="G724" s="151"/>
      <c r="H724" s="151"/>
      <c r="I724" s="151"/>
      <c r="J724" s="152"/>
      <c r="K724" s="152"/>
      <c r="L724" s="152"/>
      <c r="M724" s="152"/>
      <c r="N724" s="150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</row>
    <row r="725" customFormat="false" ht="11.25" hidden="false" customHeight="true" outlineLevel="0" collapsed="false">
      <c r="A725" s="89"/>
      <c r="B725" s="89"/>
      <c r="C725" s="89"/>
      <c r="D725" s="150"/>
      <c r="E725" s="152"/>
      <c r="F725" s="151"/>
      <c r="G725" s="151"/>
      <c r="H725" s="151"/>
      <c r="I725" s="151"/>
      <c r="J725" s="152"/>
      <c r="K725" s="152"/>
      <c r="L725" s="152"/>
      <c r="M725" s="152"/>
      <c r="N725" s="150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</row>
    <row r="726" customFormat="false" ht="11.25" hidden="false" customHeight="true" outlineLevel="0" collapsed="false">
      <c r="A726" s="89"/>
      <c r="B726" s="89"/>
      <c r="C726" s="89"/>
      <c r="D726" s="150"/>
      <c r="E726" s="152"/>
      <c r="F726" s="151"/>
      <c r="G726" s="151"/>
      <c r="H726" s="151"/>
      <c r="I726" s="151"/>
      <c r="J726" s="152"/>
      <c r="K726" s="152"/>
      <c r="L726" s="152"/>
      <c r="M726" s="152"/>
      <c r="N726" s="150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</row>
    <row r="727" customFormat="false" ht="11.25" hidden="false" customHeight="true" outlineLevel="0" collapsed="false">
      <c r="A727" s="89"/>
      <c r="B727" s="89"/>
      <c r="C727" s="89"/>
      <c r="D727" s="150"/>
      <c r="E727" s="152"/>
      <c r="F727" s="151"/>
      <c r="G727" s="151"/>
      <c r="H727" s="151"/>
      <c r="I727" s="151"/>
      <c r="J727" s="152"/>
      <c r="K727" s="152"/>
      <c r="L727" s="152"/>
      <c r="M727" s="152"/>
      <c r="N727" s="150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</row>
    <row r="728" customFormat="false" ht="11.25" hidden="false" customHeight="true" outlineLevel="0" collapsed="false">
      <c r="A728" s="89"/>
      <c r="B728" s="89"/>
      <c r="C728" s="89"/>
      <c r="D728" s="150"/>
      <c r="E728" s="152"/>
      <c r="F728" s="151"/>
      <c r="G728" s="151"/>
      <c r="H728" s="151"/>
      <c r="I728" s="151"/>
      <c r="J728" s="152"/>
      <c r="K728" s="152"/>
      <c r="L728" s="152"/>
      <c r="M728" s="152"/>
      <c r="N728" s="150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</row>
    <row r="729" customFormat="false" ht="11.25" hidden="false" customHeight="true" outlineLevel="0" collapsed="false">
      <c r="A729" s="89"/>
      <c r="B729" s="89"/>
      <c r="C729" s="89"/>
      <c r="D729" s="150"/>
      <c r="E729" s="152"/>
      <c r="F729" s="151"/>
      <c r="G729" s="151"/>
      <c r="H729" s="151"/>
      <c r="I729" s="151"/>
      <c r="J729" s="152"/>
      <c r="K729" s="152"/>
      <c r="L729" s="152"/>
      <c r="M729" s="152"/>
      <c r="N729" s="150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</row>
    <row r="730" customFormat="false" ht="11.25" hidden="false" customHeight="true" outlineLevel="0" collapsed="false">
      <c r="A730" s="89"/>
      <c r="B730" s="89"/>
      <c r="C730" s="89"/>
      <c r="D730" s="150"/>
      <c r="E730" s="152"/>
      <c r="F730" s="151"/>
      <c r="G730" s="151"/>
      <c r="H730" s="151"/>
      <c r="I730" s="151"/>
      <c r="J730" s="152"/>
      <c r="K730" s="152"/>
      <c r="L730" s="152"/>
      <c r="M730" s="152"/>
      <c r="N730" s="150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</row>
    <row r="731" customFormat="false" ht="11.25" hidden="false" customHeight="true" outlineLevel="0" collapsed="false">
      <c r="A731" s="89"/>
      <c r="B731" s="89"/>
      <c r="C731" s="89"/>
      <c r="D731" s="150"/>
      <c r="E731" s="152"/>
      <c r="F731" s="151"/>
      <c r="G731" s="151"/>
      <c r="H731" s="151"/>
      <c r="I731" s="151"/>
      <c r="J731" s="152"/>
      <c r="K731" s="152"/>
      <c r="L731" s="152"/>
      <c r="M731" s="152"/>
      <c r="N731" s="150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</row>
    <row r="732" customFormat="false" ht="11.25" hidden="false" customHeight="true" outlineLevel="0" collapsed="false">
      <c r="A732" s="89"/>
      <c r="B732" s="89"/>
      <c r="C732" s="89"/>
      <c r="D732" s="150"/>
      <c r="E732" s="152"/>
      <c r="F732" s="151"/>
      <c r="G732" s="151"/>
      <c r="H732" s="151"/>
      <c r="I732" s="151"/>
      <c r="J732" s="152"/>
      <c r="K732" s="152"/>
      <c r="L732" s="152"/>
      <c r="M732" s="152"/>
      <c r="N732" s="150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</row>
    <row r="733" customFormat="false" ht="11.25" hidden="false" customHeight="true" outlineLevel="0" collapsed="false">
      <c r="A733" s="89"/>
      <c r="B733" s="89"/>
      <c r="C733" s="89"/>
      <c r="D733" s="150"/>
      <c r="E733" s="152"/>
      <c r="F733" s="151"/>
      <c r="G733" s="151"/>
      <c r="H733" s="151"/>
      <c r="I733" s="151"/>
      <c r="J733" s="152"/>
      <c r="K733" s="152"/>
      <c r="L733" s="152"/>
      <c r="M733" s="152"/>
      <c r="N733" s="150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</row>
    <row r="734" customFormat="false" ht="11.25" hidden="false" customHeight="true" outlineLevel="0" collapsed="false">
      <c r="A734" s="89"/>
      <c r="B734" s="89"/>
      <c r="C734" s="89"/>
      <c r="D734" s="150"/>
      <c r="E734" s="152"/>
      <c r="F734" s="151"/>
      <c r="G734" s="151"/>
      <c r="H734" s="151"/>
      <c r="I734" s="151"/>
      <c r="J734" s="152"/>
      <c r="K734" s="152"/>
      <c r="L734" s="152"/>
      <c r="M734" s="152"/>
      <c r="N734" s="150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</row>
    <row r="735" customFormat="false" ht="11.25" hidden="false" customHeight="true" outlineLevel="0" collapsed="false">
      <c r="A735" s="89"/>
      <c r="B735" s="89"/>
      <c r="C735" s="89"/>
      <c r="D735" s="150"/>
      <c r="E735" s="152"/>
      <c r="F735" s="151"/>
      <c r="G735" s="151"/>
      <c r="H735" s="151"/>
      <c r="I735" s="151"/>
      <c r="J735" s="152"/>
      <c r="K735" s="152"/>
      <c r="L735" s="152"/>
      <c r="M735" s="152"/>
      <c r="N735" s="150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</row>
    <row r="736" customFormat="false" ht="11.25" hidden="false" customHeight="true" outlineLevel="0" collapsed="false">
      <c r="A736" s="89"/>
      <c r="B736" s="89"/>
      <c r="C736" s="89"/>
      <c r="D736" s="150"/>
      <c r="E736" s="152"/>
      <c r="F736" s="151"/>
      <c r="G736" s="151"/>
      <c r="H736" s="151"/>
      <c r="I736" s="151"/>
      <c r="J736" s="152"/>
      <c r="K736" s="152"/>
      <c r="L736" s="152"/>
      <c r="M736" s="152"/>
      <c r="N736" s="150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</row>
    <row r="737" customFormat="false" ht="11.25" hidden="false" customHeight="true" outlineLevel="0" collapsed="false">
      <c r="A737" s="89"/>
      <c r="B737" s="89"/>
      <c r="C737" s="89"/>
      <c r="D737" s="150"/>
      <c r="E737" s="152"/>
      <c r="F737" s="151"/>
      <c r="G737" s="151"/>
      <c r="H737" s="151"/>
      <c r="I737" s="151"/>
      <c r="J737" s="152"/>
      <c r="K737" s="152"/>
      <c r="L737" s="152"/>
      <c r="M737" s="152"/>
      <c r="N737" s="150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</row>
    <row r="738" customFormat="false" ht="11.25" hidden="false" customHeight="true" outlineLevel="0" collapsed="false">
      <c r="A738" s="89"/>
      <c r="B738" s="89"/>
      <c r="C738" s="89"/>
      <c r="D738" s="150"/>
      <c r="E738" s="152"/>
      <c r="F738" s="151"/>
      <c r="G738" s="151"/>
      <c r="H738" s="151"/>
      <c r="I738" s="151"/>
      <c r="J738" s="152"/>
      <c r="K738" s="152"/>
      <c r="L738" s="152"/>
      <c r="M738" s="152"/>
      <c r="N738" s="150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</row>
    <row r="739" customFormat="false" ht="11.25" hidden="false" customHeight="true" outlineLevel="0" collapsed="false">
      <c r="A739" s="89"/>
      <c r="B739" s="89"/>
      <c r="C739" s="89"/>
      <c r="D739" s="150"/>
      <c r="E739" s="152"/>
      <c r="F739" s="151"/>
      <c r="G739" s="151"/>
      <c r="H739" s="151"/>
      <c r="I739" s="151"/>
      <c r="J739" s="152"/>
      <c r="K739" s="152"/>
      <c r="L739" s="152"/>
      <c r="M739" s="152"/>
      <c r="N739" s="150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</row>
    <row r="740" customFormat="false" ht="11.25" hidden="false" customHeight="true" outlineLevel="0" collapsed="false">
      <c r="A740" s="89"/>
      <c r="B740" s="89"/>
      <c r="C740" s="89"/>
      <c r="D740" s="150"/>
      <c r="E740" s="152"/>
      <c r="F740" s="151"/>
      <c r="G740" s="151"/>
      <c r="H740" s="151"/>
      <c r="I740" s="151"/>
      <c r="J740" s="152"/>
      <c r="K740" s="152"/>
      <c r="L740" s="152"/>
      <c r="M740" s="152"/>
      <c r="N740" s="150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</row>
    <row r="741" customFormat="false" ht="11.25" hidden="false" customHeight="true" outlineLevel="0" collapsed="false">
      <c r="A741" s="89"/>
      <c r="B741" s="89"/>
      <c r="C741" s="89"/>
      <c r="D741" s="150"/>
      <c r="E741" s="152"/>
      <c r="F741" s="151"/>
      <c r="G741" s="151"/>
      <c r="H741" s="151"/>
      <c r="I741" s="151"/>
      <c r="J741" s="152"/>
      <c r="K741" s="152"/>
      <c r="L741" s="152"/>
      <c r="M741" s="152"/>
      <c r="N741" s="150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</row>
    <row r="742" customFormat="false" ht="11.25" hidden="false" customHeight="true" outlineLevel="0" collapsed="false">
      <c r="A742" s="89"/>
      <c r="B742" s="89"/>
      <c r="C742" s="89"/>
      <c r="D742" s="150"/>
      <c r="E742" s="152"/>
      <c r="F742" s="151"/>
      <c r="G742" s="151"/>
      <c r="H742" s="151"/>
      <c r="I742" s="151"/>
      <c r="J742" s="152"/>
      <c r="K742" s="152"/>
      <c r="L742" s="152"/>
      <c r="M742" s="152"/>
      <c r="N742" s="150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</row>
    <row r="743" customFormat="false" ht="11.25" hidden="false" customHeight="true" outlineLevel="0" collapsed="false">
      <c r="A743" s="89"/>
      <c r="B743" s="89"/>
      <c r="C743" s="89"/>
      <c r="D743" s="150"/>
      <c r="E743" s="152"/>
      <c r="F743" s="151"/>
      <c r="G743" s="151"/>
      <c r="H743" s="151"/>
      <c r="I743" s="151"/>
      <c r="J743" s="152"/>
      <c r="K743" s="152"/>
      <c r="L743" s="152"/>
      <c r="M743" s="152"/>
      <c r="N743" s="150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</row>
    <row r="744" customFormat="false" ht="11.25" hidden="false" customHeight="true" outlineLevel="0" collapsed="false">
      <c r="A744" s="89"/>
      <c r="B744" s="89"/>
      <c r="C744" s="89"/>
      <c r="D744" s="150"/>
      <c r="E744" s="152"/>
      <c r="F744" s="151"/>
      <c r="G744" s="151"/>
      <c r="H744" s="151"/>
      <c r="I744" s="151"/>
      <c r="J744" s="152"/>
      <c r="K744" s="152"/>
      <c r="L744" s="152"/>
      <c r="M744" s="152"/>
      <c r="N744" s="150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</row>
    <row r="745" customFormat="false" ht="11.25" hidden="false" customHeight="true" outlineLevel="0" collapsed="false">
      <c r="A745" s="89"/>
      <c r="B745" s="89"/>
      <c r="C745" s="89"/>
      <c r="D745" s="150"/>
      <c r="E745" s="152"/>
      <c r="F745" s="151"/>
      <c r="G745" s="151"/>
      <c r="H745" s="151"/>
      <c r="I745" s="151"/>
      <c r="J745" s="152"/>
      <c r="K745" s="152"/>
      <c r="L745" s="152"/>
      <c r="M745" s="152"/>
      <c r="N745" s="150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</row>
    <row r="746" customFormat="false" ht="11.25" hidden="false" customHeight="true" outlineLevel="0" collapsed="false">
      <c r="A746" s="89"/>
      <c r="B746" s="89"/>
      <c r="C746" s="89"/>
      <c r="D746" s="150"/>
      <c r="E746" s="152"/>
      <c r="F746" s="151"/>
      <c r="G746" s="151"/>
      <c r="H746" s="151"/>
      <c r="I746" s="151"/>
      <c r="J746" s="152"/>
      <c r="K746" s="152"/>
      <c r="L746" s="152"/>
      <c r="M746" s="152"/>
      <c r="N746" s="150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</row>
    <row r="747" customFormat="false" ht="11.25" hidden="false" customHeight="true" outlineLevel="0" collapsed="false">
      <c r="A747" s="89"/>
      <c r="B747" s="89"/>
      <c r="C747" s="89"/>
      <c r="D747" s="150"/>
      <c r="E747" s="152"/>
      <c r="F747" s="151"/>
      <c r="G747" s="151"/>
      <c r="H747" s="151"/>
      <c r="I747" s="151"/>
      <c r="J747" s="152"/>
      <c r="K747" s="152"/>
      <c r="L747" s="152"/>
      <c r="M747" s="152"/>
      <c r="N747" s="150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</row>
    <row r="748" customFormat="false" ht="11.25" hidden="false" customHeight="true" outlineLevel="0" collapsed="false">
      <c r="A748" s="89"/>
      <c r="B748" s="89"/>
      <c r="C748" s="89"/>
      <c r="D748" s="150"/>
      <c r="E748" s="152"/>
      <c r="F748" s="151"/>
      <c r="G748" s="151"/>
      <c r="H748" s="151"/>
      <c r="I748" s="151"/>
      <c r="J748" s="152"/>
      <c r="K748" s="152"/>
      <c r="L748" s="152"/>
      <c r="M748" s="152"/>
      <c r="N748" s="150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</row>
    <row r="749" customFormat="false" ht="11.25" hidden="false" customHeight="true" outlineLevel="0" collapsed="false">
      <c r="A749" s="89"/>
      <c r="B749" s="89"/>
      <c r="C749" s="89"/>
      <c r="D749" s="150"/>
      <c r="E749" s="152"/>
      <c r="F749" s="151"/>
      <c r="G749" s="151"/>
      <c r="H749" s="151"/>
      <c r="I749" s="151"/>
      <c r="J749" s="152"/>
      <c r="K749" s="152"/>
      <c r="L749" s="152"/>
      <c r="M749" s="152"/>
      <c r="N749" s="150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</row>
    <row r="750" customFormat="false" ht="11.25" hidden="false" customHeight="true" outlineLevel="0" collapsed="false">
      <c r="A750" s="89"/>
      <c r="B750" s="89"/>
      <c r="C750" s="89"/>
      <c r="D750" s="150"/>
      <c r="E750" s="152"/>
      <c r="F750" s="151"/>
      <c r="G750" s="151"/>
      <c r="H750" s="151"/>
      <c r="I750" s="151"/>
      <c r="J750" s="152"/>
      <c r="K750" s="152"/>
      <c r="L750" s="152"/>
      <c r="M750" s="152"/>
      <c r="N750" s="150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</row>
    <row r="751" customFormat="false" ht="11.25" hidden="false" customHeight="true" outlineLevel="0" collapsed="false">
      <c r="A751" s="89"/>
      <c r="B751" s="89"/>
      <c r="C751" s="89"/>
      <c r="D751" s="150"/>
      <c r="E751" s="152"/>
      <c r="F751" s="151"/>
      <c r="G751" s="151"/>
      <c r="H751" s="151"/>
      <c r="I751" s="151"/>
      <c r="J751" s="152"/>
      <c r="K751" s="152"/>
      <c r="L751" s="152"/>
      <c r="M751" s="152"/>
      <c r="N751" s="150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</row>
    <row r="752" customFormat="false" ht="11.25" hidden="false" customHeight="true" outlineLevel="0" collapsed="false">
      <c r="A752" s="89"/>
      <c r="B752" s="89"/>
      <c r="C752" s="89"/>
      <c r="D752" s="150"/>
      <c r="E752" s="152"/>
      <c r="F752" s="151"/>
      <c r="G752" s="151"/>
      <c r="H752" s="151"/>
      <c r="I752" s="151"/>
      <c r="J752" s="152"/>
      <c r="K752" s="152"/>
      <c r="L752" s="152"/>
      <c r="M752" s="152"/>
      <c r="N752" s="150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</row>
    <row r="753" customFormat="false" ht="11.25" hidden="false" customHeight="true" outlineLevel="0" collapsed="false">
      <c r="A753" s="89"/>
      <c r="B753" s="89"/>
      <c r="C753" s="89"/>
      <c r="D753" s="150"/>
      <c r="E753" s="152"/>
      <c r="F753" s="151"/>
      <c r="G753" s="151"/>
      <c r="H753" s="151"/>
      <c r="I753" s="151"/>
      <c r="J753" s="152"/>
      <c r="K753" s="152"/>
      <c r="L753" s="152"/>
      <c r="M753" s="152"/>
      <c r="N753" s="150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</row>
    <row r="754" customFormat="false" ht="11.25" hidden="false" customHeight="true" outlineLevel="0" collapsed="false">
      <c r="A754" s="89"/>
      <c r="B754" s="89"/>
      <c r="C754" s="89"/>
      <c r="D754" s="150"/>
      <c r="E754" s="152"/>
      <c r="F754" s="151"/>
      <c r="G754" s="151"/>
      <c r="H754" s="151"/>
      <c r="I754" s="151"/>
      <c r="J754" s="152"/>
      <c r="K754" s="152"/>
      <c r="L754" s="152"/>
      <c r="M754" s="152"/>
      <c r="N754" s="150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</row>
    <row r="755" customFormat="false" ht="11.25" hidden="false" customHeight="true" outlineLevel="0" collapsed="false">
      <c r="A755" s="89"/>
      <c r="B755" s="89"/>
      <c r="C755" s="89"/>
      <c r="D755" s="150"/>
      <c r="E755" s="152"/>
      <c r="F755" s="151"/>
      <c r="G755" s="151"/>
      <c r="H755" s="151"/>
      <c r="I755" s="151"/>
      <c r="J755" s="152"/>
      <c r="K755" s="152"/>
      <c r="L755" s="152"/>
      <c r="M755" s="152"/>
      <c r="N755" s="150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</row>
    <row r="756" customFormat="false" ht="11.25" hidden="false" customHeight="true" outlineLevel="0" collapsed="false">
      <c r="A756" s="89"/>
      <c r="B756" s="89"/>
      <c r="C756" s="89"/>
      <c r="D756" s="150"/>
      <c r="E756" s="152"/>
      <c r="F756" s="151"/>
      <c r="G756" s="151"/>
      <c r="H756" s="151"/>
      <c r="I756" s="151"/>
      <c r="J756" s="152"/>
      <c r="K756" s="152"/>
      <c r="L756" s="152"/>
      <c r="M756" s="152"/>
      <c r="N756" s="150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</row>
    <row r="757" customFormat="false" ht="11.25" hidden="false" customHeight="true" outlineLevel="0" collapsed="false">
      <c r="A757" s="89"/>
      <c r="B757" s="89"/>
      <c r="C757" s="89"/>
      <c r="D757" s="150"/>
      <c r="E757" s="152"/>
      <c r="F757" s="151"/>
      <c r="G757" s="151"/>
      <c r="H757" s="151"/>
      <c r="I757" s="151"/>
      <c r="J757" s="152"/>
      <c r="K757" s="152"/>
      <c r="L757" s="152"/>
      <c r="M757" s="152"/>
      <c r="N757" s="150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</row>
    <row r="758" customFormat="false" ht="11.25" hidden="false" customHeight="true" outlineLevel="0" collapsed="false">
      <c r="A758" s="89"/>
      <c r="B758" s="89"/>
      <c r="C758" s="89"/>
      <c r="D758" s="150"/>
      <c r="E758" s="152"/>
      <c r="F758" s="151"/>
      <c r="G758" s="151"/>
      <c r="H758" s="151"/>
      <c r="I758" s="151"/>
      <c r="J758" s="152"/>
      <c r="K758" s="152"/>
      <c r="L758" s="152"/>
      <c r="M758" s="152"/>
      <c r="N758" s="150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</row>
    <row r="759" customFormat="false" ht="11.25" hidden="false" customHeight="true" outlineLevel="0" collapsed="false">
      <c r="A759" s="89"/>
      <c r="B759" s="89"/>
      <c r="C759" s="89"/>
      <c r="D759" s="150"/>
      <c r="E759" s="152"/>
      <c r="F759" s="151"/>
      <c r="G759" s="151"/>
      <c r="H759" s="151"/>
      <c r="I759" s="151"/>
      <c r="J759" s="152"/>
      <c r="K759" s="152"/>
      <c r="L759" s="152"/>
      <c r="M759" s="152"/>
      <c r="N759" s="150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</row>
    <row r="760" customFormat="false" ht="11.25" hidden="false" customHeight="true" outlineLevel="0" collapsed="false">
      <c r="A760" s="89"/>
      <c r="B760" s="89"/>
      <c r="C760" s="89"/>
      <c r="D760" s="150"/>
      <c r="E760" s="152"/>
      <c r="F760" s="151"/>
      <c r="G760" s="151"/>
      <c r="H760" s="151"/>
      <c r="I760" s="151"/>
      <c r="J760" s="152"/>
      <c r="K760" s="152"/>
      <c r="L760" s="152"/>
      <c r="M760" s="152"/>
      <c r="N760" s="150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</row>
    <row r="761" customFormat="false" ht="11.25" hidden="false" customHeight="true" outlineLevel="0" collapsed="false">
      <c r="A761" s="89"/>
      <c r="B761" s="89"/>
      <c r="C761" s="89"/>
      <c r="D761" s="150"/>
      <c r="E761" s="152"/>
      <c r="F761" s="151"/>
      <c r="G761" s="151"/>
      <c r="H761" s="151"/>
      <c r="I761" s="151"/>
      <c r="J761" s="152"/>
      <c r="K761" s="152"/>
      <c r="L761" s="152"/>
      <c r="M761" s="152"/>
      <c r="N761" s="150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</row>
    <row r="762" customFormat="false" ht="11.25" hidden="false" customHeight="true" outlineLevel="0" collapsed="false">
      <c r="A762" s="89"/>
      <c r="B762" s="89"/>
      <c r="C762" s="89"/>
      <c r="D762" s="150"/>
      <c r="E762" s="152"/>
      <c r="F762" s="151"/>
      <c r="G762" s="151"/>
      <c r="H762" s="151"/>
      <c r="I762" s="151"/>
      <c r="J762" s="152"/>
      <c r="K762" s="152"/>
      <c r="L762" s="152"/>
      <c r="M762" s="152"/>
      <c r="N762" s="150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</row>
    <row r="763" customFormat="false" ht="11.25" hidden="false" customHeight="true" outlineLevel="0" collapsed="false">
      <c r="A763" s="89"/>
      <c r="B763" s="89"/>
      <c r="C763" s="89"/>
      <c r="D763" s="150"/>
      <c r="E763" s="152"/>
      <c r="F763" s="151"/>
      <c r="G763" s="151"/>
      <c r="H763" s="151"/>
      <c r="I763" s="151"/>
      <c r="J763" s="152"/>
      <c r="K763" s="152"/>
      <c r="L763" s="152"/>
      <c r="M763" s="152"/>
      <c r="N763" s="150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</row>
    <row r="764" customFormat="false" ht="11.25" hidden="false" customHeight="true" outlineLevel="0" collapsed="false">
      <c r="A764" s="89"/>
      <c r="B764" s="89"/>
      <c r="C764" s="89"/>
      <c r="D764" s="150"/>
      <c r="E764" s="152"/>
      <c r="F764" s="151"/>
      <c r="G764" s="151"/>
      <c r="H764" s="151"/>
      <c r="I764" s="151"/>
      <c r="J764" s="152"/>
      <c r="K764" s="152"/>
      <c r="L764" s="152"/>
      <c r="M764" s="152"/>
      <c r="N764" s="150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</row>
    <row r="765" customFormat="false" ht="11.25" hidden="false" customHeight="true" outlineLevel="0" collapsed="false">
      <c r="A765" s="89"/>
      <c r="B765" s="89"/>
      <c r="C765" s="89"/>
      <c r="D765" s="150"/>
      <c r="E765" s="152"/>
      <c r="F765" s="151"/>
      <c r="G765" s="151"/>
      <c r="H765" s="151"/>
      <c r="I765" s="151"/>
      <c r="J765" s="152"/>
      <c r="K765" s="152"/>
      <c r="L765" s="152"/>
      <c r="M765" s="152"/>
      <c r="N765" s="150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</row>
    <row r="766" customFormat="false" ht="11.25" hidden="false" customHeight="true" outlineLevel="0" collapsed="false">
      <c r="A766" s="89"/>
      <c r="B766" s="89"/>
      <c r="C766" s="89"/>
      <c r="D766" s="150"/>
      <c r="E766" s="152"/>
      <c r="F766" s="151"/>
      <c r="G766" s="151"/>
      <c r="H766" s="151"/>
      <c r="I766" s="151"/>
      <c r="J766" s="152"/>
      <c r="K766" s="152"/>
      <c r="L766" s="152"/>
      <c r="M766" s="152"/>
      <c r="N766" s="150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</row>
    <row r="767" customFormat="false" ht="11.25" hidden="false" customHeight="true" outlineLevel="0" collapsed="false">
      <c r="A767" s="89"/>
      <c r="B767" s="89"/>
      <c r="C767" s="89"/>
      <c r="D767" s="150"/>
      <c r="E767" s="152"/>
      <c r="F767" s="151"/>
      <c r="G767" s="151"/>
      <c r="H767" s="151"/>
      <c r="I767" s="151"/>
      <c r="J767" s="152"/>
      <c r="K767" s="152"/>
      <c r="L767" s="152"/>
      <c r="M767" s="152"/>
      <c r="N767" s="150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</row>
    <row r="768" customFormat="false" ht="11.25" hidden="false" customHeight="true" outlineLevel="0" collapsed="false">
      <c r="A768" s="89"/>
      <c r="B768" s="89"/>
      <c r="C768" s="89"/>
      <c r="D768" s="150"/>
      <c r="E768" s="152"/>
      <c r="F768" s="151"/>
      <c r="G768" s="151"/>
      <c r="H768" s="151"/>
      <c r="I768" s="151"/>
      <c r="J768" s="152"/>
      <c r="K768" s="152"/>
      <c r="L768" s="152"/>
      <c r="M768" s="152"/>
      <c r="N768" s="150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</row>
    <row r="769" customFormat="false" ht="11.25" hidden="false" customHeight="true" outlineLevel="0" collapsed="false">
      <c r="A769" s="89"/>
      <c r="B769" s="89"/>
      <c r="C769" s="89"/>
      <c r="D769" s="150"/>
      <c r="E769" s="152"/>
      <c r="F769" s="151"/>
      <c r="G769" s="151"/>
      <c r="H769" s="151"/>
      <c r="I769" s="151"/>
      <c r="J769" s="152"/>
      <c r="K769" s="152"/>
      <c r="L769" s="152"/>
      <c r="M769" s="152"/>
      <c r="N769" s="150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</row>
    <row r="770" customFormat="false" ht="11.25" hidden="false" customHeight="true" outlineLevel="0" collapsed="false">
      <c r="A770" s="89"/>
      <c r="B770" s="89"/>
      <c r="C770" s="89"/>
      <c r="D770" s="150"/>
      <c r="E770" s="152"/>
      <c r="F770" s="151"/>
      <c r="G770" s="151"/>
      <c r="H770" s="151"/>
      <c r="I770" s="151"/>
      <c r="J770" s="152"/>
      <c r="K770" s="152"/>
      <c r="L770" s="152"/>
      <c r="M770" s="152"/>
      <c r="N770" s="150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</row>
    <row r="771" customFormat="false" ht="11.25" hidden="false" customHeight="true" outlineLevel="0" collapsed="false">
      <c r="A771" s="89"/>
      <c r="B771" s="89"/>
      <c r="C771" s="89"/>
      <c r="D771" s="150"/>
      <c r="E771" s="152"/>
      <c r="F771" s="151"/>
      <c r="G771" s="151"/>
      <c r="H771" s="151"/>
      <c r="I771" s="151"/>
      <c r="J771" s="152"/>
      <c r="K771" s="152"/>
      <c r="L771" s="152"/>
      <c r="M771" s="152"/>
      <c r="N771" s="150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</row>
    <row r="772" customFormat="false" ht="11.25" hidden="false" customHeight="true" outlineLevel="0" collapsed="false">
      <c r="A772" s="89"/>
      <c r="B772" s="89"/>
      <c r="C772" s="89"/>
      <c r="D772" s="150"/>
      <c r="E772" s="152"/>
      <c r="F772" s="151"/>
      <c r="G772" s="151"/>
      <c r="H772" s="151"/>
      <c r="I772" s="151"/>
      <c r="J772" s="152"/>
      <c r="K772" s="152"/>
      <c r="L772" s="152"/>
      <c r="M772" s="152"/>
      <c r="N772" s="150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</row>
    <row r="773" customFormat="false" ht="11.25" hidden="false" customHeight="true" outlineLevel="0" collapsed="false">
      <c r="A773" s="89"/>
      <c r="B773" s="89"/>
      <c r="C773" s="89"/>
      <c r="D773" s="150"/>
      <c r="E773" s="152"/>
      <c r="F773" s="151"/>
      <c r="G773" s="151"/>
      <c r="H773" s="151"/>
      <c r="I773" s="151"/>
      <c r="J773" s="152"/>
      <c r="K773" s="152"/>
      <c r="L773" s="152"/>
      <c r="M773" s="152"/>
      <c r="N773" s="150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</row>
    <row r="774" customFormat="false" ht="11.25" hidden="false" customHeight="true" outlineLevel="0" collapsed="false">
      <c r="A774" s="89"/>
      <c r="B774" s="89"/>
      <c r="C774" s="89"/>
      <c r="D774" s="150"/>
      <c r="E774" s="152"/>
      <c r="F774" s="151"/>
      <c r="G774" s="151"/>
      <c r="H774" s="151"/>
      <c r="I774" s="151"/>
      <c r="J774" s="152"/>
      <c r="K774" s="152"/>
      <c r="L774" s="152"/>
      <c r="M774" s="152"/>
      <c r="N774" s="150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</row>
    <row r="775" customFormat="false" ht="11.25" hidden="false" customHeight="true" outlineLevel="0" collapsed="false">
      <c r="A775" s="89"/>
      <c r="B775" s="89"/>
      <c r="C775" s="89"/>
      <c r="D775" s="150"/>
      <c r="E775" s="152"/>
      <c r="F775" s="151"/>
      <c r="G775" s="151"/>
      <c r="H775" s="151"/>
      <c r="I775" s="151"/>
      <c r="J775" s="152"/>
      <c r="K775" s="152"/>
      <c r="L775" s="152"/>
      <c r="M775" s="152"/>
      <c r="N775" s="150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</row>
    <row r="776" customFormat="false" ht="11.25" hidden="false" customHeight="true" outlineLevel="0" collapsed="false">
      <c r="A776" s="89"/>
      <c r="B776" s="89"/>
      <c r="C776" s="89"/>
      <c r="D776" s="150"/>
      <c r="E776" s="152"/>
      <c r="F776" s="151"/>
      <c r="G776" s="151"/>
      <c r="H776" s="151"/>
      <c r="I776" s="151"/>
      <c r="J776" s="152"/>
      <c r="K776" s="152"/>
      <c r="L776" s="152"/>
      <c r="M776" s="152"/>
      <c r="N776" s="150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</row>
    <row r="777" customFormat="false" ht="11.25" hidden="false" customHeight="true" outlineLevel="0" collapsed="false">
      <c r="A777" s="89"/>
      <c r="B777" s="89"/>
      <c r="C777" s="89"/>
      <c r="D777" s="150"/>
      <c r="E777" s="152"/>
      <c r="F777" s="151"/>
      <c r="G777" s="151"/>
      <c r="H777" s="151"/>
      <c r="I777" s="151"/>
      <c r="J777" s="152"/>
      <c r="K777" s="152"/>
      <c r="L777" s="152"/>
      <c r="M777" s="152"/>
      <c r="N777" s="150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</row>
    <row r="778" customFormat="false" ht="11.25" hidden="false" customHeight="true" outlineLevel="0" collapsed="false">
      <c r="A778" s="89"/>
      <c r="B778" s="89"/>
      <c r="C778" s="89"/>
      <c r="D778" s="150"/>
      <c r="E778" s="152"/>
      <c r="F778" s="151"/>
      <c r="G778" s="151"/>
      <c r="H778" s="151"/>
      <c r="I778" s="151"/>
      <c r="J778" s="152"/>
      <c r="K778" s="152"/>
      <c r="L778" s="152"/>
      <c r="M778" s="152"/>
      <c r="N778" s="150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</row>
    <row r="779" customFormat="false" ht="11.25" hidden="false" customHeight="true" outlineLevel="0" collapsed="false">
      <c r="A779" s="89"/>
      <c r="B779" s="89"/>
      <c r="C779" s="89"/>
      <c r="D779" s="150"/>
      <c r="E779" s="152"/>
      <c r="F779" s="151"/>
      <c r="G779" s="151"/>
      <c r="H779" s="151"/>
      <c r="I779" s="151"/>
      <c r="J779" s="152"/>
      <c r="K779" s="152"/>
      <c r="L779" s="152"/>
      <c r="M779" s="152"/>
      <c r="N779" s="150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</row>
    <row r="780" customFormat="false" ht="11.25" hidden="false" customHeight="true" outlineLevel="0" collapsed="false">
      <c r="A780" s="89"/>
      <c r="B780" s="89"/>
      <c r="C780" s="89"/>
      <c r="D780" s="150"/>
      <c r="E780" s="152"/>
      <c r="F780" s="151"/>
      <c r="G780" s="151"/>
      <c r="H780" s="151"/>
      <c r="I780" s="151"/>
      <c r="J780" s="152"/>
      <c r="K780" s="152"/>
      <c r="L780" s="152"/>
      <c r="M780" s="152"/>
      <c r="N780" s="150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</row>
    <row r="781" customFormat="false" ht="11.25" hidden="false" customHeight="true" outlineLevel="0" collapsed="false">
      <c r="A781" s="89"/>
      <c r="B781" s="89"/>
      <c r="C781" s="89"/>
      <c r="D781" s="150"/>
      <c r="E781" s="152"/>
      <c r="F781" s="151"/>
      <c r="G781" s="151"/>
      <c r="H781" s="151"/>
      <c r="I781" s="151"/>
      <c r="J781" s="152"/>
      <c r="K781" s="152"/>
      <c r="L781" s="152"/>
      <c r="M781" s="152"/>
      <c r="N781" s="150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</row>
    <row r="782" customFormat="false" ht="11.25" hidden="false" customHeight="true" outlineLevel="0" collapsed="false">
      <c r="A782" s="89"/>
      <c r="B782" s="89"/>
      <c r="C782" s="89"/>
      <c r="D782" s="150"/>
      <c r="E782" s="152"/>
      <c r="F782" s="151"/>
      <c r="G782" s="151"/>
      <c r="H782" s="151"/>
      <c r="I782" s="151"/>
      <c r="J782" s="152"/>
      <c r="K782" s="152"/>
      <c r="L782" s="152"/>
      <c r="M782" s="152"/>
      <c r="N782" s="150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</row>
    <row r="783" customFormat="false" ht="11.25" hidden="false" customHeight="true" outlineLevel="0" collapsed="false">
      <c r="A783" s="89"/>
      <c r="B783" s="89"/>
      <c r="C783" s="89"/>
      <c r="D783" s="150"/>
      <c r="E783" s="152"/>
      <c r="F783" s="151"/>
      <c r="G783" s="151"/>
      <c r="H783" s="151"/>
      <c r="I783" s="151"/>
      <c r="J783" s="152"/>
      <c r="K783" s="152"/>
      <c r="L783" s="152"/>
      <c r="M783" s="152"/>
      <c r="N783" s="150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</row>
    <row r="784" customFormat="false" ht="11.25" hidden="false" customHeight="true" outlineLevel="0" collapsed="false">
      <c r="A784" s="89"/>
      <c r="B784" s="89"/>
      <c r="C784" s="89"/>
      <c r="D784" s="150"/>
      <c r="E784" s="152"/>
      <c r="F784" s="151"/>
      <c r="G784" s="151"/>
      <c r="H784" s="151"/>
      <c r="I784" s="151"/>
      <c r="J784" s="152"/>
      <c r="K784" s="152"/>
      <c r="L784" s="152"/>
      <c r="M784" s="152"/>
      <c r="N784" s="150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</row>
    <row r="785" customFormat="false" ht="11.25" hidden="false" customHeight="true" outlineLevel="0" collapsed="false">
      <c r="A785" s="89"/>
      <c r="B785" s="89"/>
      <c r="C785" s="89"/>
      <c r="D785" s="150"/>
      <c r="E785" s="152"/>
      <c r="F785" s="151"/>
      <c r="G785" s="151"/>
      <c r="H785" s="151"/>
      <c r="I785" s="151"/>
      <c r="J785" s="152"/>
      <c r="K785" s="152"/>
      <c r="L785" s="152"/>
      <c r="M785" s="152"/>
      <c r="N785" s="150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</row>
    <row r="786" customFormat="false" ht="11.25" hidden="false" customHeight="true" outlineLevel="0" collapsed="false">
      <c r="A786" s="89"/>
      <c r="B786" s="89"/>
      <c r="C786" s="89"/>
      <c r="D786" s="150"/>
      <c r="E786" s="152"/>
      <c r="F786" s="151"/>
      <c r="G786" s="151"/>
      <c r="H786" s="151"/>
      <c r="I786" s="151"/>
      <c r="J786" s="152"/>
      <c r="K786" s="152"/>
      <c r="L786" s="152"/>
      <c r="M786" s="152"/>
      <c r="N786" s="150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</row>
    <row r="787" customFormat="false" ht="11.25" hidden="false" customHeight="true" outlineLevel="0" collapsed="false">
      <c r="A787" s="89"/>
      <c r="B787" s="89"/>
      <c r="C787" s="89"/>
      <c r="D787" s="150"/>
      <c r="E787" s="152"/>
      <c r="F787" s="151"/>
      <c r="G787" s="151"/>
      <c r="H787" s="151"/>
      <c r="I787" s="151"/>
      <c r="J787" s="152"/>
      <c r="K787" s="152"/>
      <c r="L787" s="152"/>
      <c r="M787" s="152"/>
      <c r="N787" s="150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</row>
    <row r="788" customFormat="false" ht="11.25" hidden="false" customHeight="true" outlineLevel="0" collapsed="false">
      <c r="A788" s="89"/>
      <c r="B788" s="89"/>
      <c r="C788" s="89"/>
      <c r="D788" s="150"/>
      <c r="E788" s="152"/>
      <c r="F788" s="151"/>
      <c r="G788" s="151"/>
      <c r="H788" s="151"/>
      <c r="I788" s="151"/>
      <c r="J788" s="152"/>
      <c r="K788" s="152"/>
      <c r="L788" s="152"/>
      <c r="M788" s="152"/>
      <c r="N788" s="150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</row>
    <row r="789" customFormat="false" ht="11.25" hidden="false" customHeight="true" outlineLevel="0" collapsed="false">
      <c r="A789" s="89"/>
      <c r="B789" s="89"/>
      <c r="C789" s="89"/>
      <c r="D789" s="150"/>
      <c r="E789" s="152"/>
      <c r="F789" s="151"/>
      <c r="G789" s="151"/>
      <c r="H789" s="151"/>
      <c r="I789" s="151"/>
      <c r="J789" s="152"/>
      <c r="K789" s="152"/>
      <c r="L789" s="152"/>
      <c r="M789" s="152"/>
      <c r="N789" s="150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</row>
    <row r="790" customFormat="false" ht="11.25" hidden="false" customHeight="true" outlineLevel="0" collapsed="false">
      <c r="A790" s="89"/>
      <c r="B790" s="89"/>
      <c r="C790" s="89"/>
      <c r="D790" s="150"/>
      <c r="E790" s="152"/>
      <c r="F790" s="151"/>
      <c r="G790" s="151"/>
      <c r="H790" s="151"/>
      <c r="I790" s="151"/>
      <c r="J790" s="152"/>
      <c r="K790" s="152"/>
      <c r="L790" s="152"/>
      <c r="M790" s="152"/>
      <c r="N790" s="150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</row>
    <row r="791" customFormat="false" ht="11.25" hidden="false" customHeight="true" outlineLevel="0" collapsed="false">
      <c r="A791" s="89"/>
      <c r="B791" s="89"/>
      <c r="C791" s="89"/>
      <c r="D791" s="150"/>
      <c r="E791" s="152"/>
      <c r="F791" s="151"/>
      <c r="G791" s="151"/>
      <c r="H791" s="151"/>
      <c r="I791" s="151"/>
      <c r="J791" s="152"/>
      <c r="K791" s="152"/>
      <c r="L791" s="152"/>
      <c r="M791" s="152"/>
      <c r="N791" s="150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</row>
    <row r="792" customFormat="false" ht="11.25" hidden="false" customHeight="true" outlineLevel="0" collapsed="false">
      <c r="A792" s="89"/>
      <c r="B792" s="89"/>
      <c r="C792" s="89"/>
      <c r="D792" s="150"/>
      <c r="E792" s="152"/>
      <c r="F792" s="151"/>
      <c r="G792" s="151"/>
      <c r="H792" s="151"/>
      <c r="I792" s="151"/>
      <c r="J792" s="152"/>
      <c r="K792" s="152"/>
      <c r="L792" s="152"/>
      <c r="M792" s="152"/>
      <c r="N792" s="150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</row>
    <row r="793" customFormat="false" ht="11.25" hidden="false" customHeight="true" outlineLevel="0" collapsed="false">
      <c r="A793" s="89"/>
      <c r="B793" s="89"/>
      <c r="C793" s="89"/>
      <c r="D793" s="150"/>
      <c r="E793" s="152"/>
      <c r="F793" s="151"/>
      <c r="G793" s="151"/>
      <c r="H793" s="151"/>
      <c r="I793" s="151"/>
      <c r="J793" s="152"/>
      <c r="K793" s="152"/>
      <c r="L793" s="152"/>
      <c r="M793" s="152"/>
      <c r="N793" s="150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</row>
    <row r="794" customFormat="false" ht="11.25" hidden="false" customHeight="true" outlineLevel="0" collapsed="false">
      <c r="A794" s="89"/>
      <c r="B794" s="89"/>
      <c r="C794" s="89"/>
      <c r="D794" s="150"/>
      <c r="E794" s="152"/>
      <c r="F794" s="151"/>
      <c r="G794" s="151"/>
      <c r="H794" s="151"/>
      <c r="I794" s="151"/>
      <c r="J794" s="152"/>
      <c r="K794" s="152"/>
      <c r="L794" s="152"/>
      <c r="M794" s="152"/>
      <c r="N794" s="150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</row>
    <row r="795" customFormat="false" ht="11.25" hidden="false" customHeight="true" outlineLevel="0" collapsed="false">
      <c r="A795" s="89"/>
      <c r="B795" s="89"/>
      <c r="C795" s="89"/>
      <c r="D795" s="150"/>
      <c r="E795" s="152"/>
      <c r="F795" s="151"/>
      <c r="G795" s="151"/>
      <c r="H795" s="151"/>
      <c r="I795" s="151"/>
      <c r="J795" s="152"/>
      <c r="K795" s="152"/>
      <c r="L795" s="152"/>
      <c r="M795" s="152"/>
      <c r="N795" s="150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</row>
    <row r="796" customFormat="false" ht="11.25" hidden="false" customHeight="true" outlineLevel="0" collapsed="false">
      <c r="A796" s="89"/>
      <c r="B796" s="89"/>
      <c r="C796" s="89"/>
      <c r="D796" s="150"/>
      <c r="E796" s="152"/>
      <c r="F796" s="151"/>
      <c r="G796" s="151"/>
      <c r="H796" s="151"/>
      <c r="I796" s="151"/>
      <c r="J796" s="152"/>
      <c r="K796" s="152"/>
      <c r="L796" s="152"/>
      <c r="M796" s="152"/>
      <c r="N796" s="150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</row>
    <row r="797" customFormat="false" ht="11.25" hidden="false" customHeight="true" outlineLevel="0" collapsed="false">
      <c r="A797" s="89"/>
      <c r="B797" s="89"/>
      <c r="C797" s="89"/>
      <c r="D797" s="150"/>
      <c r="E797" s="152"/>
      <c r="F797" s="151"/>
      <c r="G797" s="151"/>
      <c r="H797" s="151"/>
      <c r="I797" s="151"/>
      <c r="J797" s="152"/>
      <c r="K797" s="152"/>
      <c r="L797" s="152"/>
      <c r="M797" s="152"/>
      <c r="N797" s="150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</row>
    <row r="798" customFormat="false" ht="11.25" hidden="false" customHeight="true" outlineLevel="0" collapsed="false">
      <c r="A798" s="89"/>
      <c r="B798" s="89"/>
      <c r="C798" s="89"/>
      <c r="D798" s="150"/>
      <c r="E798" s="152"/>
      <c r="F798" s="151"/>
      <c r="G798" s="151"/>
      <c r="H798" s="151"/>
      <c r="I798" s="151"/>
      <c r="J798" s="152"/>
      <c r="K798" s="152"/>
      <c r="L798" s="152"/>
      <c r="M798" s="152"/>
      <c r="N798" s="150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</row>
    <row r="799" customFormat="false" ht="11.25" hidden="false" customHeight="true" outlineLevel="0" collapsed="false">
      <c r="A799" s="89"/>
      <c r="B799" s="89"/>
      <c r="C799" s="89"/>
      <c r="D799" s="150"/>
      <c r="E799" s="152"/>
      <c r="F799" s="151"/>
      <c r="G799" s="151"/>
      <c r="H799" s="151"/>
      <c r="I799" s="151"/>
      <c r="J799" s="152"/>
      <c r="K799" s="152"/>
      <c r="L799" s="152"/>
      <c r="M799" s="152"/>
      <c r="N799" s="150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</row>
    <row r="800" customFormat="false" ht="11.25" hidden="false" customHeight="true" outlineLevel="0" collapsed="false">
      <c r="A800" s="89"/>
      <c r="B800" s="89"/>
      <c r="C800" s="89"/>
      <c r="D800" s="150"/>
      <c r="E800" s="152"/>
      <c r="F800" s="151"/>
      <c r="G800" s="151"/>
      <c r="H800" s="151"/>
      <c r="I800" s="151"/>
      <c r="J800" s="152"/>
      <c r="K800" s="152"/>
      <c r="L800" s="152"/>
      <c r="M800" s="152"/>
      <c r="N800" s="150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</row>
    <row r="801" customFormat="false" ht="11.25" hidden="false" customHeight="true" outlineLevel="0" collapsed="false">
      <c r="A801" s="89"/>
      <c r="B801" s="89"/>
      <c r="C801" s="89"/>
      <c r="D801" s="150"/>
      <c r="E801" s="152"/>
      <c r="F801" s="151"/>
      <c r="G801" s="151"/>
      <c r="H801" s="151"/>
      <c r="I801" s="151"/>
      <c r="J801" s="152"/>
      <c r="K801" s="152"/>
      <c r="L801" s="152"/>
      <c r="M801" s="152"/>
      <c r="N801" s="150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</row>
    <row r="802" customFormat="false" ht="11.25" hidden="false" customHeight="true" outlineLevel="0" collapsed="false">
      <c r="A802" s="89"/>
      <c r="B802" s="89"/>
      <c r="C802" s="89"/>
      <c r="D802" s="150"/>
      <c r="E802" s="152"/>
      <c r="F802" s="151"/>
      <c r="G802" s="151"/>
      <c r="H802" s="151"/>
      <c r="I802" s="151"/>
      <c r="J802" s="152"/>
      <c r="K802" s="152"/>
      <c r="L802" s="152"/>
      <c r="M802" s="152"/>
      <c r="N802" s="150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</row>
    <row r="803" customFormat="false" ht="11.25" hidden="false" customHeight="true" outlineLevel="0" collapsed="false">
      <c r="A803" s="89"/>
      <c r="B803" s="89"/>
      <c r="C803" s="89"/>
      <c r="D803" s="150"/>
      <c r="E803" s="152"/>
      <c r="F803" s="151"/>
      <c r="G803" s="151"/>
      <c r="H803" s="151"/>
      <c r="I803" s="151"/>
      <c r="J803" s="152"/>
      <c r="K803" s="152"/>
      <c r="L803" s="152"/>
      <c r="M803" s="152"/>
      <c r="N803" s="150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</row>
    <row r="804" customFormat="false" ht="11.25" hidden="false" customHeight="true" outlineLevel="0" collapsed="false">
      <c r="A804" s="89"/>
      <c r="B804" s="89"/>
      <c r="C804" s="89"/>
      <c r="D804" s="150"/>
      <c r="E804" s="152"/>
      <c r="F804" s="151"/>
      <c r="G804" s="151"/>
      <c r="H804" s="151"/>
      <c r="I804" s="151"/>
      <c r="J804" s="152"/>
      <c r="K804" s="152"/>
      <c r="L804" s="152"/>
      <c r="M804" s="152"/>
      <c r="N804" s="150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</row>
    <row r="805" customFormat="false" ht="11.25" hidden="false" customHeight="true" outlineLevel="0" collapsed="false">
      <c r="A805" s="89"/>
      <c r="B805" s="89"/>
      <c r="C805" s="89"/>
      <c r="D805" s="150"/>
      <c r="E805" s="152"/>
      <c r="F805" s="151"/>
      <c r="G805" s="151"/>
      <c r="H805" s="151"/>
      <c r="I805" s="151"/>
      <c r="J805" s="152"/>
      <c r="K805" s="152"/>
      <c r="L805" s="152"/>
      <c r="M805" s="152"/>
      <c r="N805" s="150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</row>
    <row r="806" customFormat="false" ht="11.25" hidden="false" customHeight="true" outlineLevel="0" collapsed="false">
      <c r="A806" s="89"/>
      <c r="B806" s="89"/>
      <c r="C806" s="89"/>
      <c r="D806" s="150"/>
      <c r="E806" s="152"/>
      <c r="F806" s="151"/>
      <c r="G806" s="151"/>
      <c r="H806" s="151"/>
      <c r="I806" s="151"/>
      <c r="J806" s="152"/>
      <c r="K806" s="152"/>
      <c r="L806" s="152"/>
      <c r="M806" s="152"/>
      <c r="N806" s="150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</row>
    <row r="807" customFormat="false" ht="11.25" hidden="false" customHeight="true" outlineLevel="0" collapsed="false">
      <c r="A807" s="89"/>
      <c r="B807" s="89"/>
      <c r="C807" s="89"/>
      <c r="D807" s="150"/>
      <c r="E807" s="152"/>
      <c r="F807" s="151"/>
      <c r="G807" s="151"/>
      <c r="H807" s="151"/>
      <c r="I807" s="151"/>
      <c r="J807" s="152"/>
      <c r="K807" s="152"/>
      <c r="L807" s="152"/>
      <c r="M807" s="152"/>
      <c r="N807" s="150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</row>
    <row r="808" customFormat="false" ht="11.25" hidden="false" customHeight="true" outlineLevel="0" collapsed="false">
      <c r="A808" s="89"/>
      <c r="B808" s="89"/>
      <c r="C808" s="89"/>
      <c r="D808" s="150"/>
      <c r="E808" s="152"/>
      <c r="F808" s="151"/>
      <c r="G808" s="151"/>
      <c r="H808" s="151"/>
      <c r="I808" s="151"/>
      <c r="J808" s="152"/>
      <c r="K808" s="152"/>
      <c r="L808" s="152"/>
      <c r="M808" s="152"/>
      <c r="N808" s="150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</row>
    <row r="809" customFormat="false" ht="11.25" hidden="false" customHeight="true" outlineLevel="0" collapsed="false">
      <c r="A809" s="89"/>
      <c r="B809" s="89"/>
      <c r="C809" s="89"/>
      <c r="D809" s="150"/>
      <c r="E809" s="152"/>
      <c r="F809" s="151"/>
      <c r="G809" s="151"/>
      <c r="H809" s="151"/>
      <c r="I809" s="151"/>
      <c r="J809" s="152"/>
      <c r="K809" s="152"/>
      <c r="L809" s="152"/>
      <c r="M809" s="152"/>
      <c r="N809" s="150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</row>
    <row r="810" customFormat="false" ht="11.25" hidden="false" customHeight="true" outlineLevel="0" collapsed="false">
      <c r="A810" s="89"/>
      <c r="B810" s="89"/>
      <c r="C810" s="89"/>
      <c r="D810" s="150"/>
      <c r="E810" s="152"/>
      <c r="F810" s="151"/>
      <c r="G810" s="151"/>
      <c r="H810" s="151"/>
      <c r="I810" s="151"/>
      <c r="J810" s="152"/>
      <c r="K810" s="152"/>
      <c r="L810" s="152"/>
      <c r="M810" s="152"/>
      <c r="N810" s="150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</row>
    <row r="811" customFormat="false" ht="11.25" hidden="false" customHeight="true" outlineLevel="0" collapsed="false">
      <c r="A811" s="89"/>
      <c r="B811" s="89"/>
      <c r="C811" s="89"/>
      <c r="D811" s="150"/>
      <c r="E811" s="152"/>
      <c r="F811" s="151"/>
      <c r="G811" s="151"/>
      <c r="H811" s="151"/>
      <c r="I811" s="151"/>
      <c r="J811" s="152"/>
      <c r="K811" s="152"/>
      <c r="L811" s="152"/>
      <c r="M811" s="152"/>
      <c r="N811" s="150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</row>
    <row r="812" customFormat="false" ht="11.25" hidden="false" customHeight="true" outlineLevel="0" collapsed="false">
      <c r="A812" s="89"/>
      <c r="B812" s="89"/>
      <c r="C812" s="89"/>
      <c r="D812" s="150"/>
      <c r="E812" s="152"/>
      <c r="F812" s="151"/>
      <c r="G812" s="151"/>
      <c r="H812" s="151"/>
      <c r="I812" s="151"/>
      <c r="J812" s="152"/>
      <c r="K812" s="152"/>
      <c r="L812" s="152"/>
      <c r="M812" s="152"/>
      <c r="N812" s="150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</row>
    <row r="813" customFormat="false" ht="11.25" hidden="false" customHeight="true" outlineLevel="0" collapsed="false">
      <c r="A813" s="89"/>
      <c r="B813" s="89"/>
      <c r="C813" s="89"/>
      <c r="D813" s="150"/>
      <c r="E813" s="152"/>
      <c r="F813" s="151"/>
      <c r="G813" s="151"/>
      <c r="H813" s="151"/>
      <c r="I813" s="151"/>
      <c r="J813" s="152"/>
      <c r="K813" s="152"/>
      <c r="L813" s="152"/>
      <c r="M813" s="152"/>
      <c r="N813" s="150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</row>
    <row r="814" customFormat="false" ht="11.25" hidden="false" customHeight="true" outlineLevel="0" collapsed="false">
      <c r="A814" s="89"/>
      <c r="B814" s="89"/>
      <c r="C814" s="89"/>
      <c r="D814" s="150"/>
      <c r="E814" s="152"/>
      <c r="F814" s="151"/>
      <c r="G814" s="151"/>
      <c r="H814" s="151"/>
      <c r="I814" s="151"/>
      <c r="J814" s="152"/>
      <c r="K814" s="152"/>
      <c r="L814" s="152"/>
      <c r="M814" s="152"/>
      <c r="N814" s="150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</row>
    <row r="815" customFormat="false" ht="11.25" hidden="false" customHeight="true" outlineLevel="0" collapsed="false">
      <c r="A815" s="89"/>
      <c r="B815" s="89"/>
      <c r="C815" s="89"/>
      <c r="D815" s="150"/>
      <c r="E815" s="152"/>
      <c r="F815" s="151"/>
      <c r="G815" s="151"/>
      <c r="H815" s="151"/>
      <c r="I815" s="151"/>
      <c r="J815" s="152"/>
      <c r="K815" s="152"/>
      <c r="L815" s="152"/>
      <c r="M815" s="152"/>
      <c r="N815" s="150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</row>
    <row r="816" customFormat="false" ht="11.25" hidden="false" customHeight="true" outlineLevel="0" collapsed="false">
      <c r="A816" s="89"/>
      <c r="B816" s="89"/>
      <c r="C816" s="89"/>
      <c r="D816" s="150"/>
      <c r="E816" s="152"/>
      <c r="F816" s="151"/>
      <c r="G816" s="151"/>
      <c r="H816" s="151"/>
      <c r="I816" s="151"/>
      <c r="J816" s="152"/>
      <c r="K816" s="152"/>
      <c r="L816" s="152"/>
      <c r="M816" s="152"/>
      <c r="N816" s="150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</row>
    <row r="817" customFormat="false" ht="11.25" hidden="false" customHeight="true" outlineLevel="0" collapsed="false">
      <c r="A817" s="89"/>
      <c r="B817" s="89"/>
      <c r="C817" s="89"/>
      <c r="D817" s="150"/>
      <c r="E817" s="152"/>
      <c r="F817" s="151"/>
      <c r="G817" s="151"/>
      <c r="H817" s="151"/>
      <c r="I817" s="151"/>
      <c r="J817" s="152"/>
      <c r="K817" s="152"/>
      <c r="L817" s="152"/>
      <c r="M817" s="152"/>
      <c r="N817" s="150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</row>
    <row r="818" customFormat="false" ht="11.25" hidden="false" customHeight="true" outlineLevel="0" collapsed="false">
      <c r="A818" s="89"/>
      <c r="B818" s="89"/>
      <c r="C818" s="89"/>
      <c r="D818" s="150"/>
      <c r="E818" s="152"/>
      <c r="F818" s="151"/>
      <c r="G818" s="151"/>
      <c r="H818" s="151"/>
      <c r="I818" s="151"/>
      <c r="J818" s="152"/>
      <c r="K818" s="152"/>
      <c r="L818" s="152"/>
      <c r="M818" s="152"/>
      <c r="N818" s="150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</row>
    <row r="819" customFormat="false" ht="11.25" hidden="false" customHeight="true" outlineLevel="0" collapsed="false">
      <c r="A819" s="89"/>
      <c r="B819" s="89"/>
      <c r="C819" s="89"/>
      <c r="D819" s="150"/>
      <c r="E819" s="152"/>
      <c r="F819" s="151"/>
      <c r="G819" s="151"/>
      <c r="H819" s="151"/>
      <c r="I819" s="151"/>
      <c r="J819" s="152"/>
      <c r="K819" s="152"/>
      <c r="L819" s="152"/>
      <c r="M819" s="152"/>
      <c r="N819" s="150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</row>
    <row r="820" customFormat="false" ht="11.25" hidden="false" customHeight="true" outlineLevel="0" collapsed="false">
      <c r="A820" s="89"/>
      <c r="B820" s="89"/>
      <c r="C820" s="89"/>
      <c r="D820" s="150"/>
      <c r="E820" s="152"/>
      <c r="F820" s="151"/>
      <c r="G820" s="151"/>
      <c r="H820" s="151"/>
      <c r="I820" s="151"/>
      <c r="J820" s="152"/>
      <c r="K820" s="152"/>
      <c r="L820" s="152"/>
      <c r="M820" s="152"/>
      <c r="N820" s="150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</row>
    <row r="821" customFormat="false" ht="11.25" hidden="false" customHeight="true" outlineLevel="0" collapsed="false">
      <c r="A821" s="89"/>
      <c r="B821" s="89"/>
      <c r="C821" s="89"/>
      <c r="D821" s="150"/>
      <c r="E821" s="152"/>
      <c r="F821" s="151"/>
      <c r="G821" s="151"/>
      <c r="H821" s="151"/>
      <c r="I821" s="151"/>
      <c r="J821" s="152"/>
      <c r="K821" s="152"/>
      <c r="L821" s="152"/>
      <c r="M821" s="152"/>
      <c r="N821" s="150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</row>
    <row r="822" customFormat="false" ht="11.25" hidden="false" customHeight="true" outlineLevel="0" collapsed="false">
      <c r="A822" s="89"/>
      <c r="B822" s="89"/>
      <c r="C822" s="89"/>
      <c r="D822" s="150"/>
      <c r="E822" s="152"/>
      <c r="F822" s="151"/>
      <c r="G822" s="151"/>
      <c r="H822" s="151"/>
      <c r="I822" s="151"/>
      <c r="J822" s="152"/>
      <c r="K822" s="152"/>
      <c r="L822" s="152"/>
      <c r="M822" s="152"/>
      <c r="N822" s="150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</row>
    <row r="823" customFormat="false" ht="11.25" hidden="false" customHeight="true" outlineLevel="0" collapsed="false">
      <c r="A823" s="89"/>
      <c r="B823" s="89"/>
      <c r="C823" s="89"/>
      <c r="D823" s="150"/>
      <c r="E823" s="152"/>
      <c r="F823" s="151"/>
      <c r="G823" s="151"/>
      <c r="H823" s="151"/>
      <c r="I823" s="151"/>
      <c r="J823" s="152"/>
      <c r="K823" s="152"/>
      <c r="L823" s="152"/>
      <c r="M823" s="152"/>
      <c r="N823" s="150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</row>
    <row r="824" customFormat="false" ht="11.25" hidden="false" customHeight="true" outlineLevel="0" collapsed="false">
      <c r="A824" s="89"/>
      <c r="B824" s="89"/>
      <c r="C824" s="89"/>
      <c r="D824" s="150"/>
      <c r="E824" s="152"/>
      <c r="F824" s="151"/>
      <c r="G824" s="151"/>
      <c r="H824" s="151"/>
      <c r="I824" s="151"/>
      <c r="J824" s="152"/>
      <c r="K824" s="152"/>
      <c r="L824" s="152"/>
      <c r="M824" s="152"/>
      <c r="N824" s="150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</row>
    <row r="825" customFormat="false" ht="11.25" hidden="false" customHeight="true" outlineLevel="0" collapsed="false">
      <c r="A825" s="89"/>
      <c r="B825" s="89"/>
      <c r="C825" s="89"/>
      <c r="D825" s="150"/>
      <c r="E825" s="152"/>
      <c r="F825" s="151"/>
      <c r="G825" s="151"/>
      <c r="H825" s="151"/>
      <c r="I825" s="151"/>
      <c r="J825" s="152"/>
      <c r="K825" s="152"/>
      <c r="L825" s="152"/>
      <c r="M825" s="152"/>
      <c r="N825" s="150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</row>
    <row r="826" customFormat="false" ht="11.25" hidden="false" customHeight="true" outlineLevel="0" collapsed="false">
      <c r="A826" s="89"/>
      <c r="B826" s="89"/>
      <c r="C826" s="89"/>
      <c r="D826" s="150"/>
      <c r="E826" s="152"/>
      <c r="F826" s="151"/>
      <c r="G826" s="151"/>
      <c r="H826" s="151"/>
      <c r="I826" s="151"/>
      <c r="J826" s="152"/>
      <c r="K826" s="152"/>
      <c r="L826" s="152"/>
      <c r="M826" s="152"/>
      <c r="N826" s="150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</row>
    <row r="827" customFormat="false" ht="11.25" hidden="false" customHeight="true" outlineLevel="0" collapsed="false">
      <c r="A827" s="89"/>
      <c r="B827" s="89"/>
      <c r="C827" s="89"/>
      <c r="D827" s="150"/>
      <c r="E827" s="152"/>
      <c r="F827" s="151"/>
      <c r="G827" s="151"/>
      <c r="H827" s="151"/>
      <c r="I827" s="151"/>
      <c r="J827" s="152"/>
      <c r="K827" s="152"/>
      <c r="L827" s="152"/>
      <c r="M827" s="152"/>
      <c r="N827" s="150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</row>
    <row r="828" customFormat="false" ht="11.25" hidden="false" customHeight="true" outlineLevel="0" collapsed="false">
      <c r="A828" s="89"/>
      <c r="B828" s="89"/>
      <c r="C828" s="89"/>
      <c r="D828" s="150"/>
      <c r="E828" s="152"/>
      <c r="F828" s="151"/>
      <c r="G828" s="151"/>
      <c r="H828" s="151"/>
      <c r="I828" s="151"/>
      <c r="J828" s="152"/>
      <c r="K828" s="152"/>
      <c r="L828" s="152"/>
      <c r="M828" s="152"/>
      <c r="N828" s="150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</row>
    <row r="829" customFormat="false" ht="11.25" hidden="false" customHeight="true" outlineLevel="0" collapsed="false">
      <c r="A829" s="89"/>
      <c r="B829" s="89"/>
      <c r="C829" s="89"/>
      <c r="D829" s="150"/>
      <c r="E829" s="152"/>
      <c r="F829" s="151"/>
      <c r="G829" s="151"/>
      <c r="H829" s="151"/>
      <c r="I829" s="151"/>
      <c r="J829" s="152"/>
      <c r="K829" s="152"/>
      <c r="L829" s="152"/>
      <c r="M829" s="152"/>
      <c r="N829" s="150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</row>
    <row r="830" customFormat="false" ht="11.25" hidden="false" customHeight="true" outlineLevel="0" collapsed="false">
      <c r="A830" s="89"/>
      <c r="B830" s="89"/>
      <c r="C830" s="89"/>
      <c r="D830" s="150"/>
      <c r="E830" s="152"/>
      <c r="F830" s="151"/>
      <c r="G830" s="151"/>
      <c r="H830" s="151"/>
      <c r="I830" s="151"/>
      <c r="J830" s="152"/>
      <c r="K830" s="152"/>
      <c r="L830" s="152"/>
      <c r="M830" s="152"/>
      <c r="N830" s="150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</row>
    <row r="831" customFormat="false" ht="11.25" hidden="false" customHeight="true" outlineLevel="0" collapsed="false">
      <c r="A831" s="89"/>
      <c r="B831" s="89"/>
      <c r="C831" s="89"/>
      <c r="D831" s="150"/>
      <c r="E831" s="152"/>
      <c r="F831" s="151"/>
      <c r="G831" s="151"/>
      <c r="H831" s="151"/>
      <c r="I831" s="151"/>
      <c r="J831" s="152"/>
      <c r="K831" s="152"/>
      <c r="L831" s="152"/>
      <c r="M831" s="152"/>
      <c r="N831" s="150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</row>
    <row r="832" customFormat="false" ht="11.25" hidden="false" customHeight="true" outlineLevel="0" collapsed="false">
      <c r="A832" s="89"/>
      <c r="B832" s="89"/>
      <c r="C832" s="89"/>
      <c r="D832" s="150"/>
      <c r="E832" s="152"/>
      <c r="F832" s="151"/>
      <c r="G832" s="151"/>
      <c r="H832" s="151"/>
      <c r="I832" s="151"/>
      <c r="J832" s="152"/>
      <c r="K832" s="152"/>
      <c r="L832" s="152"/>
      <c r="M832" s="152"/>
      <c r="N832" s="150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</row>
    <row r="833" customFormat="false" ht="11.25" hidden="false" customHeight="true" outlineLevel="0" collapsed="false">
      <c r="A833" s="89"/>
      <c r="B833" s="89"/>
      <c r="C833" s="89"/>
      <c r="D833" s="150"/>
      <c r="E833" s="152"/>
      <c r="F833" s="151"/>
      <c r="G833" s="151"/>
      <c r="H833" s="151"/>
      <c r="I833" s="151"/>
      <c r="J833" s="152"/>
      <c r="K833" s="152"/>
      <c r="L833" s="152"/>
      <c r="M833" s="152"/>
      <c r="N833" s="150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</row>
    <row r="834" customFormat="false" ht="11.25" hidden="false" customHeight="true" outlineLevel="0" collapsed="false">
      <c r="A834" s="89"/>
      <c r="B834" s="89"/>
      <c r="C834" s="89"/>
      <c r="D834" s="150"/>
      <c r="E834" s="152"/>
      <c r="F834" s="151"/>
      <c r="G834" s="151"/>
      <c r="H834" s="151"/>
      <c r="I834" s="151"/>
      <c r="J834" s="152"/>
      <c r="K834" s="152"/>
      <c r="L834" s="152"/>
      <c r="M834" s="152"/>
      <c r="N834" s="150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</row>
    <row r="835" customFormat="false" ht="11.25" hidden="false" customHeight="true" outlineLevel="0" collapsed="false">
      <c r="A835" s="89"/>
      <c r="B835" s="89"/>
      <c r="C835" s="89"/>
      <c r="D835" s="150"/>
      <c r="E835" s="152"/>
      <c r="F835" s="151"/>
      <c r="G835" s="151"/>
      <c r="H835" s="151"/>
      <c r="I835" s="151"/>
      <c r="J835" s="152"/>
      <c r="K835" s="152"/>
      <c r="L835" s="152"/>
      <c r="M835" s="152"/>
      <c r="N835" s="150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</row>
    <row r="836" customFormat="false" ht="11.25" hidden="false" customHeight="true" outlineLevel="0" collapsed="false">
      <c r="A836" s="89"/>
      <c r="B836" s="89"/>
      <c r="C836" s="89"/>
      <c r="D836" s="150"/>
      <c r="E836" s="152"/>
      <c r="F836" s="151"/>
      <c r="G836" s="151"/>
      <c r="H836" s="151"/>
      <c r="I836" s="151"/>
      <c r="J836" s="152"/>
      <c r="K836" s="152"/>
      <c r="L836" s="152"/>
      <c r="M836" s="152"/>
      <c r="N836" s="150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</row>
    <row r="837" customFormat="false" ht="11.25" hidden="false" customHeight="true" outlineLevel="0" collapsed="false">
      <c r="A837" s="89"/>
      <c r="B837" s="89"/>
      <c r="C837" s="89"/>
      <c r="D837" s="150"/>
      <c r="E837" s="152"/>
      <c r="F837" s="151"/>
      <c r="G837" s="151"/>
      <c r="H837" s="151"/>
      <c r="I837" s="151"/>
      <c r="J837" s="152"/>
      <c r="K837" s="152"/>
      <c r="L837" s="152"/>
      <c r="M837" s="152"/>
      <c r="N837" s="150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</row>
    <row r="838" customFormat="false" ht="11.25" hidden="false" customHeight="true" outlineLevel="0" collapsed="false">
      <c r="A838" s="89"/>
      <c r="B838" s="89"/>
      <c r="C838" s="89"/>
      <c r="D838" s="150"/>
      <c r="E838" s="152"/>
      <c r="F838" s="151"/>
      <c r="G838" s="151"/>
      <c r="H838" s="151"/>
      <c r="I838" s="151"/>
      <c r="J838" s="152"/>
      <c r="K838" s="152"/>
      <c r="L838" s="152"/>
      <c r="M838" s="152"/>
      <c r="N838" s="150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</row>
    <row r="839" customFormat="false" ht="11.25" hidden="false" customHeight="true" outlineLevel="0" collapsed="false">
      <c r="A839" s="89"/>
      <c r="B839" s="89"/>
      <c r="C839" s="89"/>
      <c r="D839" s="150"/>
      <c r="E839" s="152"/>
      <c r="F839" s="151"/>
      <c r="G839" s="151"/>
      <c r="H839" s="151"/>
      <c r="I839" s="151"/>
      <c r="J839" s="152"/>
      <c r="K839" s="152"/>
      <c r="L839" s="152"/>
      <c r="M839" s="152"/>
      <c r="N839" s="150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</row>
    <row r="840" customFormat="false" ht="11.25" hidden="false" customHeight="true" outlineLevel="0" collapsed="false">
      <c r="A840" s="89"/>
      <c r="B840" s="89"/>
      <c r="C840" s="89"/>
      <c r="D840" s="150"/>
      <c r="E840" s="152"/>
      <c r="F840" s="151"/>
      <c r="G840" s="151"/>
      <c r="H840" s="151"/>
      <c r="I840" s="151"/>
      <c r="J840" s="152"/>
      <c r="K840" s="152"/>
      <c r="L840" s="152"/>
      <c r="M840" s="152"/>
      <c r="N840" s="150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</row>
    <row r="841" customFormat="false" ht="11.25" hidden="false" customHeight="true" outlineLevel="0" collapsed="false">
      <c r="A841" s="89"/>
      <c r="B841" s="89"/>
      <c r="C841" s="89"/>
      <c r="D841" s="150"/>
      <c r="E841" s="152"/>
      <c r="F841" s="151"/>
      <c r="G841" s="151"/>
      <c r="H841" s="151"/>
      <c r="I841" s="151"/>
      <c r="J841" s="152"/>
      <c r="K841" s="152"/>
      <c r="L841" s="152"/>
      <c r="M841" s="152"/>
      <c r="N841" s="150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</row>
    <row r="842" customFormat="false" ht="11.25" hidden="false" customHeight="true" outlineLevel="0" collapsed="false">
      <c r="A842" s="89"/>
      <c r="B842" s="89"/>
      <c r="C842" s="89"/>
      <c r="D842" s="150"/>
      <c r="E842" s="152"/>
      <c r="F842" s="151"/>
      <c r="G842" s="151"/>
      <c r="H842" s="151"/>
      <c r="I842" s="151"/>
      <c r="J842" s="152"/>
      <c r="K842" s="152"/>
      <c r="L842" s="152"/>
      <c r="M842" s="152"/>
      <c r="N842" s="150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</row>
    <row r="843" customFormat="false" ht="11.25" hidden="false" customHeight="true" outlineLevel="0" collapsed="false">
      <c r="A843" s="89"/>
      <c r="B843" s="89"/>
      <c r="C843" s="89"/>
      <c r="D843" s="150"/>
      <c r="E843" s="152"/>
      <c r="F843" s="151"/>
      <c r="G843" s="151"/>
      <c r="H843" s="151"/>
      <c r="I843" s="151"/>
      <c r="J843" s="152"/>
      <c r="K843" s="152"/>
      <c r="L843" s="152"/>
      <c r="M843" s="152"/>
      <c r="N843" s="150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</row>
    <row r="844" customFormat="false" ht="11.25" hidden="false" customHeight="true" outlineLevel="0" collapsed="false">
      <c r="A844" s="89"/>
      <c r="B844" s="89"/>
      <c r="C844" s="89"/>
      <c r="D844" s="150"/>
      <c r="E844" s="152"/>
      <c r="F844" s="151"/>
      <c r="G844" s="151"/>
      <c r="H844" s="151"/>
      <c r="I844" s="151"/>
      <c r="J844" s="152"/>
      <c r="K844" s="152"/>
      <c r="L844" s="152"/>
      <c r="M844" s="152"/>
      <c r="N844" s="150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</row>
    <row r="845" customFormat="false" ht="11.25" hidden="false" customHeight="true" outlineLevel="0" collapsed="false">
      <c r="A845" s="89"/>
      <c r="B845" s="89"/>
      <c r="C845" s="89"/>
      <c r="D845" s="150"/>
      <c r="E845" s="152"/>
      <c r="F845" s="151"/>
      <c r="G845" s="151"/>
      <c r="H845" s="151"/>
      <c r="I845" s="151"/>
      <c r="J845" s="152"/>
      <c r="K845" s="152"/>
      <c r="L845" s="152"/>
      <c r="M845" s="152"/>
      <c r="N845" s="150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</row>
    <row r="846" customFormat="false" ht="11.25" hidden="false" customHeight="true" outlineLevel="0" collapsed="false">
      <c r="A846" s="89"/>
      <c r="B846" s="89"/>
      <c r="C846" s="89"/>
      <c r="D846" s="150"/>
      <c r="E846" s="152"/>
      <c r="F846" s="151"/>
      <c r="G846" s="151"/>
      <c r="H846" s="151"/>
      <c r="I846" s="151"/>
      <c r="J846" s="152"/>
      <c r="K846" s="152"/>
      <c r="L846" s="152"/>
      <c r="M846" s="152"/>
      <c r="N846" s="150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</row>
    <row r="847" customFormat="false" ht="11.25" hidden="false" customHeight="true" outlineLevel="0" collapsed="false">
      <c r="A847" s="89"/>
      <c r="B847" s="89"/>
      <c r="C847" s="89"/>
      <c r="D847" s="150"/>
      <c r="E847" s="152"/>
      <c r="F847" s="151"/>
      <c r="G847" s="151"/>
      <c r="H847" s="151"/>
      <c r="I847" s="151"/>
      <c r="J847" s="152"/>
      <c r="K847" s="152"/>
      <c r="L847" s="152"/>
      <c r="M847" s="152"/>
      <c r="N847" s="150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</row>
    <row r="848" customFormat="false" ht="11.25" hidden="false" customHeight="true" outlineLevel="0" collapsed="false">
      <c r="A848" s="89"/>
      <c r="B848" s="89"/>
      <c r="C848" s="89"/>
      <c r="D848" s="150"/>
      <c r="E848" s="152"/>
      <c r="F848" s="151"/>
      <c r="G848" s="151"/>
      <c r="H848" s="151"/>
      <c r="I848" s="151"/>
      <c r="J848" s="152"/>
      <c r="K848" s="152"/>
      <c r="L848" s="152"/>
      <c r="M848" s="152"/>
      <c r="N848" s="150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</row>
    <row r="849" customFormat="false" ht="11.25" hidden="false" customHeight="true" outlineLevel="0" collapsed="false">
      <c r="A849" s="89"/>
      <c r="B849" s="89"/>
      <c r="C849" s="89"/>
      <c r="D849" s="150"/>
      <c r="E849" s="152"/>
      <c r="F849" s="151"/>
      <c r="G849" s="151"/>
      <c r="H849" s="151"/>
      <c r="I849" s="151"/>
      <c r="J849" s="152"/>
      <c r="K849" s="152"/>
      <c r="L849" s="152"/>
      <c r="M849" s="152"/>
      <c r="N849" s="150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</row>
    <row r="850" customFormat="false" ht="11.25" hidden="false" customHeight="true" outlineLevel="0" collapsed="false">
      <c r="A850" s="89"/>
      <c r="B850" s="89"/>
      <c r="C850" s="89"/>
      <c r="D850" s="150"/>
      <c r="E850" s="152"/>
      <c r="F850" s="151"/>
      <c r="G850" s="151"/>
      <c r="H850" s="151"/>
      <c r="I850" s="151"/>
      <c r="J850" s="152"/>
      <c r="K850" s="152"/>
      <c r="L850" s="152"/>
      <c r="M850" s="152"/>
      <c r="N850" s="150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</row>
    <row r="851" customFormat="false" ht="11.25" hidden="false" customHeight="true" outlineLevel="0" collapsed="false">
      <c r="A851" s="89"/>
      <c r="B851" s="89"/>
      <c r="C851" s="89"/>
      <c r="D851" s="150"/>
      <c r="E851" s="152"/>
      <c r="F851" s="151"/>
      <c r="G851" s="151"/>
      <c r="H851" s="151"/>
      <c r="I851" s="151"/>
      <c r="J851" s="152"/>
      <c r="K851" s="152"/>
      <c r="L851" s="152"/>
      <c r="M851" s="152"/>
      <c r="N851" s="150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</row>
    <row r="852" customFormat="false" ht="11.25" hidden="false" customHeight="true" outlineLevel="0" collapsed="false">
      <c r="A852" s="89"/>
      <c r="B852" s="89"/>
      <c r="C852" s="89"/>
      <c r="D852" s="150"/>
      <c r="E852" s="152"/>
      <c r="F852" s="151"/>
      <c r="G852" s="151"/>
      <c r="H852" s="151"/>
      <c r="I852" s="151"/>
      <c r="J852" s="152"/>
      <c r="K852" s="152"/>
      <c r="L852" s="152"/>
      <c r="M852" s="152"/>
      <c r="N852" s="150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</row>
    <row r="853" customFormat="false" ht="11.25" hidden="false" customHeight="true" outlineLevel="0" collapsed="false">
      <c r="A853" s="89"/>
      <c r="B853" s="89"/>
      <c r="C853" s="89"/>
      <c r="D853" s="150"/>
      <c r="E853" s="152"/>
      <c r="F853" s="151"/>
      <c r="G853" s="151"/>
      <c r="H853" s="151"/>
      <c r="I853" s="151"/>
      <c r="J853" s="152"/>
      <c r="K853" s="152"/>
      <c r="L853" s="152"/>
      <c r="M853" s="152"/>
      <c r="N853" s="150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</row>
    <row r="854" customFormat="false" ht="11.25" hidden="false" customHeight="true" outlineLevel="0" collapsed="false">
      <c r="A854" s="89"/>
      <c r="B854" s="89"/>
      <c r="C854" s="89"/>
      <c r="D854" s="150"/>
      <c r="E854" s="152"/>
      <c r="F854" s="151"/>
      <c r="G854" s="151"/>
      <c r="H854" s="151"/>
      <c r="I854" s="151"/>
      <c r="J854" s="152"/>
      <c r="K854" s="152"/>
      <c r="L854" s="152"/>
      <c r="M854" s="152"/>
      <c r="N854" s="150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</row>
    <row r="855" customFormat="false" ht="11.25" hidden="false" customHeight="true" outlineLevel="0" collapsed="false">
      <c r="A855" s="89"/>
      <c r="B855" s="89"/>
      <c r="C855" s="89"/>
      <c r="D855" s="150"/>
      <c r="E855" s="152"/>
      <c r="F855" s="151"/>
      <c r="G855" s="151"/>
      <c r="H855" s="151"/>
      <c r="I855" s="151"/>
      <c r="J855" s="152"/>
      <c r="K855" s="152"/>
      <c r="L855" s="152"/>
      <c r="M855" s="152"/>
      <c r="N855" s="150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</row>
    <row r="856" customFormat="false" ht="11.25" hidden="false" customHeight="true" outlineLevel="0" collapsed="false">
      <c r="A856" s="89"/>
      <c r="B856" s="89"/>
      <c r="C856" s="89"/>
      <c r="D856" s="150"/>
      <c r="E856" s="152"/>
      <c r="F856" s="151"/>
      <c r="G856" s="151"/>
      <c r="H856" s="151"/>
      <c r="I856" s="151"/>
      <c r="J856" s="152"/>
      <c r="K856" s="152"/>
      <c r="L856" s="152"/>
      <c r="M856" s="152"/>
      <c r="N856" s="150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</row>
    <row r="857" customFormat="false" ht="11.25" hidden="false" customHeight="true" outlineLevel="0" collapsed="false">
      <c r="A857" s="89"/>
      <c r="B857" s="89"/>
      <c r="C857" s="89"/>
      <c r="D857" s="150"/>
      <c r="E857" s="152"/>
      <c r="F857" s="151"/>
      <c r="G857" s="151"/>
      <c r="H857" s="151"/>
      <c r="I857" s="151"/>
      <c r="J857" s="152"/>
      <c r="K857" s="152"/>
      <c r="L857" s="152"/>
      <c r="M857" s="152"/>
      <c r="N857" s="150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</row>
    <row r="858" customFormat="false" ht="11.25" hidden="false" customHeight="true" outlineLevel="0" collapsed="false">
      <c r="A858" s="89"/>
      <c r="B858" s="89"/>
      <c r="C858" s="89"/>
      <c r="D858" s="150"/>
      <c r="E858" s="152"/>
      <c r="F858" s="151"/>
      <c r="G858" s="151"/>
      <c r="H858" s="151"/>
      <c r="I858" s="151"/>
      <c r="J858" s="152"/>
      <c r="K858" s="152"/>
      <c r="L858" s="152"/>
      <c r="M858" s="152"/>
      <c r="N858" s="150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</row>
    <row r="859" customFormat="false" ht="11.25" hidden="false" customHeight="true" outlineLevel="0" collapsed="false">
      <c r="A859" s="89"/>
      <c r="B859" s="89"/>
      <c r="C859" s="89"/>
      <c r="D859" s="150"/>
      <c r="E859" s="152"/>
      <c r="F859" s="151"/>
      <c r="G859" s="151"/>
      <c r="H859" s="151"/>
      <c r="I859" s="151"/>
      <c r="J859" s="152"/>
      <c r="K859" s="152"/>
      <c r="L859" s="152"/>
      <c r="M859" s="152"/>
      <c r="N859" s="150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</row>
    <row r="860" customFormat="false" ht="11.25" hidden="false" customHeight="true" outlineLevel="0" collapsed="false">
      <c r="A860" s="89"/>
      <c r="B860" s="89"/>
      <c r="C860" s="89"/>
      <c r="D860" s="150"/>
      <c r="E860" s="152"/>
      <c r="F860" s="151"/>
      <c r="G860" s="151"/>
      <c r="H860" s="151"/>
      <c r="I860" s="151"/>
      <c r="J860" s="152"/>
      <c r="K860" s="152"/>
      <c r="L860" s="152"/>
      <c r="M860" s="152"/>
      <c r="N860" s="150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</row>
    <row r="861" customFormat="false" ht="11.25" hidden="false" customHeight="true" outlineLevel="0" collapsed="false">
      <c r="A861" s="89"/>
      <c r="B861" s="89"/>
      <c r="C861" s="89"/>
      <c r="D861" s="150"/>
      <c r="E861" s="152"/>
      <c r="F861" s="151"/>
      <c r="G861" s="151"/>
      <c r="H861" s="151"/>
      <c r="I861" s="151"/>
      <c r="J861" s="152"/>
      <c r="K861" s="152"/>
      <c r="L861" s="152"/>
      <c r="M861" s="152"/>
      <c r="N861" s="150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</row>
    <row r="862" customFormat="false" ht="11.25" hidden="false" customHeight="true" outlineLevel="0" collapsed="false">
      <c r="A862" s="89"/>
      <c r="B862" s="89"/>
      <c r="C862" s="89"/>
      <c r="D862" s="150"/>
      <c r="E862" s="152"/>
      <c r="F862" s="151"/>
      <c r="G862" s="151"/>
      <c r="H862" s="151"/>
      <c r="I862" s="151"/>
      <c r="J862" s="152"/>
      <c r="K862" s="152"/>
      <c r="L862" s="152"/>
      <c r="M862" s="152"/>
      <c r="N862" s="150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</row>
    <row r="863" customFormat="false" ht="11.25" hidden="false" customHeight="true" outlineLevel="0" collapsed="false">
      <c r="A863" s="89"/>
      <c r="B863" s="89"/>
      <c r="C863" s="89"/>
      <c r="D863" s="150"/>
      <c r="E863" s="152"/>
      <c r="F863" s="151"/>
      <c r="G863" s="151"/>
      <c r="H863" s="151"/>
      <c r="I863" s="151"/>
      <c r="J863" s="152"/>
      <c r="K863" s="152"/>
      <c r="L863" s="152"/>
      <c r="M863" s="152"/>
      <c r="N863" s="150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</row>
    <row r="864" customFormat="false" ht="11.25" hidden="false" customHeight="true" outlineLevel="0" collapsed="false">
      <c r="A864" s="89"/>
      <c r="B864" s="89"/>
      <c r="C864" s="89"/>
      <c r="D864" s="150"/>
      <c r="E864" s="152"/>
      <c r="F864" s="151"/>
      <c r="G864" s="151"/>
      <c r="H864" s="151"/>
      <c r="I864" s="151"/>
      <c r="J864" s="152"/>
      <c r="K864" s="152"/>
      <c r="L864" s="152"/>
      <c r="M864" s="152"/>
      <c r="N864" s="150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</row>
    <row r="865" customFormat="false" ht="11.25" hidden="false" customHeight="true" outlineLevel="0" collapsed="false">
      <c r="A865" s="89"/>
      <c r="B865" s="89"/>
      <c r="C865" s="89"/>
      <c r="D865" s="150"/>
      <c r="E865" s="152"/>
      <c r="F865" s="151"/>
      <c r="G865" s="151"/>
      <c r="H865" s="151"/>
      <c r="I865" s="151"/>
      <c r="J865" s="152"/>
      <c r="K865" s="152"/>
      <c r="L865" s="152"/>
      <c r="M865" s="152"/>
      <c r="N865" s="150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</row>
    <row r="866" customFormat="false" ht="11.25" hidden="false" customHeight="true" outlineLevel="0" collapsed="false">
      <c r="A866" s="89"/>
      <c r="B866" s="89"/>
      <c r="C866" s="89"/>
      <c r="D866" s="150"/>
      <c r="E866" s="152"/>
      <c r="F866" s="151"/>
      <c r="G866" s="151"/>
      <c r="H866" s="151"/>
      <c r="I866" s="151"/>
      <c r="J866" s="152"/>
      <c r="K866" s="152"/>
      <c r="L866" s="152"/>
      <c r="M866" s="152"/>
      <c r="N866" s="150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</row>
    <row r="867" customFormat="false" ht="11.25" hidden="false" customHeight="true" outlineLevel="0" collapsed="false">
      <c r="A867" s="89"/>
      <c r="B867" s="89"/>
      <c r="C867" s="89"/>
      <c r="D867" s="150"/>
      <c r="E867" s="152"/>
      <c r="F867" s="151"/>
      <c r="G867" s="151"/>
      <c r="H867" s="151"/>
      <c r="I867" s="151"/>
      <c r="J867" s="152"/>
      <c r="K867" s="152"/>
      <c r="L867" s="152"/>
      <c r="M867" s="152"/>
      <c r="N867" s="150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</row>
    <row r="868" customFormat="false" ht="11.25" hidden="false" customHeight="true" outlineLevel="0" collapsed="false">
      <c r="A868" s="89"/>
      <c r="B868" s="89"/>
      <c r="C868" s="89"/>
      <c r="D868" s="150"/>
      <c r="E868" s="152"/>
      <c r="F868" s="151"/>
      <c r="G868" s="151"/>
      <c r="H868" s="151"/>
      <c r="I868" s="151"/>
      <c r="J868" s="152"/>
      <c r="K868" s="152"/>
      <c r="L868" s="152"/>
      <c r="M868" s="152"/>
      <c r="N868" s="150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</row>
    <row r="869" customFormat="false" ht="11.25" hidden="false" customHeight="true" outlineLevel="0" collapsed="false">
      <c r="A869" s="89"/>
      <c r="B869" s="89"/>
      <c r="C869" s="89"/>
      <c r="D869" s="150"/>
      <c r="E869" s="152"/>
      <c r="F869" s="151"/>
      <c r="G869" s="151"/>
      <c r="H869" s="151"/>
      <c r="I869" s="151"/>
      <c r="J869" s="152"/>
      <c r="K869" s="152"/>
      <c r="L869" s="152"/>
      <c r="M869" s="152"/>
      <c r="N869" s="150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</row>
    <row r="870" customFormat="false" ht="11.25" hidden="false" customHeight="true" outlineLevel="0" collapsed="false">
      <c r="A870" s="89"/>
      <c r="B870" s="89"/>
      <c r="C870" s="89"/>
      <c r="D870" s="150"/>
      <c r="E870" s="152"/>
      <c r="F870" s="151"/>
      <c r="G870" s="151"/>
      <c r="H870" s="151"/>
      <c r="I870" s="151"/>
      <c r="J870" s="152"/>
      <c r="K870" s="152"/>
      <c r="L870" s="152"/>
      <c r="M870" s="152"/>
      <c r="N870" s="150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</row>
    <row r="871" customFormat="false" ht="11.25" hidden="false" customHeight="true" outlineLevel="0" collapsed="false">
      <c r="A871" s="89"/>
      <c r="B871" s="89"/>
      <c r="C871" s="89"/>
      <c r="D871" s="150"/>
      <c r="E871" s="152"/>
      <c r="F871" s="151"/>
      <c r="G871" s="151"/>
      <c r="H871" s="151"/>
      <c r="I871" s="151"/>
      <c r="J871" s="152"/>
      <c r="K871" s="152"/>
      <c r="L871" s="152"/>
      <c r="M871" s="152"/>
      <c r="N871" s="150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</row>
    <row r="872" customFormat="false" ht="11.25" hidden="false" customHeight="true" outlineLevel="0" collapsed="false">
      <c r="A872" s="89"/>
      <c r="B872" s="89"/>
      <c r="C872" s="89"/>
      <c r="D872" s="150"/>
      <c r="E872" s="152"/>
      <c r="F872" s="151"/>
      <c r="G872" s="151"/>
      <c r="H872" s="151"/>
      <c r="I872" s="151"/>
      <c r="J872" s="152"/>
      <c r="K872" s="152"/>
      <c r="L872" s="152"/>
      <c r="M872" s="152"/>
      <c r="N872" s="150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</row>
    <row r="873" customFormat="false" ht="11.25" hidden="false" customHeight="true" outlineLevel="0" collapsed="false">
      <c r="A873" s="89"/>
      <c r="B873" s="89"/>
      <c r="C873" s="89"/>
      <c r="D873" s="150"/>
      <c r="E873" s="152"/>
      <c r="F873" s="151"/>
      <c r="G873" s="151"/>
      <c r="H873" s="151"/>
      <c r="I873" s="151"/>
      <c r="J873" s="152"/>
      <c r="K873" s="152"/>
      <c r="L873" s="152"/>
      <c r="M873" s="152"/>
      <c r="N873" s="150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</row>
    <row r="874" customFormat="false" ht="11.25" hidden="false" customHeight="true" outlineLevel="0" collapsed="false">
      <c r="A874" s="89"/>
      <c r="B874" s="89"/>
      <c r="C874" s="89"/>
      <c r="D874" s="150"/>
      <c r="E874" s="152"/>
      <c r="F874" s="151"/>
      <c r="G874" s="151"/>
      <c r="H874" s="151"/>
      <c r="I874" s="151"/>
      <c r="J874" s="152"/>
      <c r="K874" s="152"/>
      <c r="L874" s="152"/>
      <c r="M874" s="152"/>
      <c r="N874" s="150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</row>
    <row r="875" customFormat="false" ht="11.25" hidden="false" customHeight="true" outlineLevel="0" collapsed="false">
      <c r="A875" s="89"/>
      <c r="B875" s="89"/>
      <c r="C875" s="89"/>
      <c r="D875" s="150"/>
      <c r="E875" s="152"/>
      <c r="F875" s="151"/>
      <c r="G875" s="151"/>
      <c r="H875" s="151"/>
      <c r="I875" s="151"/>
      <c r="J875" s="152"/>
      <c r="K875" s="152"/>
      <c r="L875" s="152"/>
      <c r="M875" s="152"/>
      <c r="N875" s="150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</row>
    <row r="876" customFormat="false" ht="11.25" hidden="false" customHeight="true" outlineLevel="0" collapsed="false">
      <c r="A876" s="89"/>
      <c r="B876" s="89"/>
      <c r="C876" s="89"/>
      <c r="D876" s="150"/>
      <c r="E876" s="152"/>
      <c r="F876" s="151"/>
      <c r="G876" s="151"/>
      <c r="H876" s="151"/>
      <c r="I876" s="151"/>
      <c r="J876" s="152"/>
      <c r="K876" s="152"/>
      <c r="L876" s="152"/>
      <c r="M876" s="152"/>
      <c r="N876" s="150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</row>
    <row r="877" customFormat="false" ht="11.25" hidden="false" customHeight="true" outlineLevel="0" collapsed="false">
      <c r="A877" s="89"/>
      <c r="B877" s="89"/>
      <c r="C877" s="89"/>
      <c r="D877" s="150"/>
      <c r="E877" s="152"/>
      <c r="F877" s="151"/>
      <c r="G877" s="151"/>
      <c r="H877" s="151"/>
      <c r="I877" s="151"/>
      <c r="J877" s="152"/>
      <c r="K877" s="152"/>
      <c r="L877" s="152"/>
      <c r="M877" s="152"/>
      <c r="N877" s="150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</row>
    <row r="878" customFormat="false" ht="11.25" hidden="false" customHeight="true" outlineLevel="0" collapsed="false">
      <c r="A878" s="89"/>
      <c r="B878" s="89"/>
      <c r="C878" s="89"/>
      <c r="D878" s="150"/>
      <c r="E878" s="152"/>
      <c r="F878" s="151"/>
      <c r="G878" s="151"/>
      <c r="H878" s="151"/>
      <c r="I878" s="151"/>
      <c r="J878" s="152"/>
      <c r="K878" s="152"/>
      <c r="L878" s="152"/>
      <c r="M878" s="152"/>
      <c r="N878" s="150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</row>
    <row r="879" customFormat="false" ht="11.25" hidden="false" customHeight="true" outlineLevel="0" collapsed="false">
      <c r="A879" s="89"/>
      <c r="B879" s="89"/>
      <c r="C879" s="89"/>
      <c r="D879" s="150"/>
      <c r="E879" s="152"/>
      <c r="F879" s="151"/>
      <c r="G879" s="151"/>
      <c r="H879" s="151"/>
      <c r="I879" s="151"/>
      <c r="J879" s="152"/>
      <c r="K879" s="152"/>
      <c r="L879" s="152"/>
      <c r="M879" s="152"/>
      <c r="N879" s="150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</row>
    <row r="880" customFormat="false" ht="11.25" hidden="false" customHeight="true" outlineLevel="0" collapsed="false">
      <c r="A880" s="89"/>
      <c r="B880" s="89"/>
      <c r="C880" s="89"/>
      <c r="D880" s="150"/>
      <c r="E880" s="152"/>
      <c r="F880" s="151"/>
      <c r="G880" s="151"/>
      <c r="H880" s="151"/>
      <c r="I880" s="151"/>
      <c r="J880" s="152"/>
      <c r="K880" s="152"/>
      <c r="L880" s="152"/>
      <c r="M880" s="152"/>
      <c r="N880" s="150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</row>
    <row r="881" customFormat="false" ht="11.25" hidden="false" customHeight="true" outlineLevel="0" collapsed="false">
      <c r="A881" s="89"/>
      <c r="B881" s="89"/>
      <c r="C881" s="89"/>
      <c r="D881" s="150"/>
      <c r="E881" s="152"/>
      <c r="F881" s="151"/>
      <c r="G881" s="151"/>
      <c r="H881" s="151"/>
      <c r="I881" s="151"/>
      <c r="J881" s="152"/>
      <c r="K881" s="152"/>
      <c r="L881" s="152"/>
      <c r="M881" s="152"/>
      <c r="N881" s="150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</row>
    <row r="882" customFormat="false" ht="11.25" hidden="false" customHeight="true" outlineLevel="0" collapsed="false">
      <c r="A882" s="89"/>
      <c r="B882" s="89"/>
      <c r="C882" s="89"/>
      <c r="D882" s="150"/>
      <c r="E882" s="152"/>
      <c r="F882" s="151"/>
      <c r="G882" s="151"/>
      <c r="H882" s="151"/>
      <c r="I882" s="151"/>
      <c r="J882" s="152"/>
      <c r="K882" s="152"/>
      <c r="L882" s="152"/>
      <c r="M882" s="152"/>
      <c r="N882" s="150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</row>
    <row r="883" customFormat="false" ht="11.25" hidden="false" customHeight="true" outlineLevel="0" collapsed="false">
      <c r="A883" s="89"/>
      <c r="B883" s="89"/>
      <c r="C883" s="89"/>
      <c r="D883" s="150"/>
      <c r="E883" s="152"/>
      <c r="F883" s="151"/>
      <c r="G883" s="151"/>
      <c r="H883" s="151"/>
      <c r="I883" s="151"/>
      <c r="J883" s="152"/>
      <c r="K883" s="152"/>
      <c r="L883" s="152"/>
      <c r="M883" s="152"/>
      <c r="N883" s="150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</row>
    <row r="884" customFormat="false" ht="11.25" hidden="false" customHeight="true" outlineLevel="0" collapsed="false">
      <c r="A884" s="89"/>
      <c r="B884" s="89"/>
      <c r="C884" s="89"/>
      <c r="D884" s="150"/>
      <c r="E884" s="152"/>
      <c r="F884" s="151"/>
      <c r="G884" s="151"/>
      <c r="H884" s="151"/>
      <c r="I884" s="151"/>
      <c r="J884" s="152"/>
      <c r="K884" s="152"/>
      <c r="L884" s="152"/>
      <c r="M884" s="152"/>
      <c r="N884" s="150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</row>
    <row r="885" customFormat="false" ht="11.25" hidden="false" customHeight="true" outlineLevel="0" collapsed="false">
      <c r="A885" s="89"/>
      <c r="B885" s="89"/>
      <c r="C885" s="89"/>
      <c r="D885" s="150"/>
      <c r="E885" s="152"/>
      <c r="F885" s="151"/>
      <c r="G885" s="151"/>
      <c r="H885" s="151"/>
      <c r="I885" s="151"/>
      <c r="J885" s="152"/>
      <c r="K885" s="152"/>
      <c r="L885" s="152"/>
      <c r="M885" s="152"/>
      <c r="N885" s="150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</row>
    <row r="886" customFormat="false" ht="11.25" hidden="false" customHeight="true" outlineLevel="0" collapsed="false">
      <c r="A886" s="89"/>
      <c r="B886" s="89"/>
      <c r="C886" s="89"/>
      <c r="D886" s="150"/>
      <c r="E886" s="152"/>
      <c r="F886" s="151"/>
      <c r="G886" s="151"/>
      <c r="H886" s="151"/>
      <c r="I886" s="151"/>
      <c r="J886" s="152"/>
      <c r="K886" s="152"/>
      <c r="L886" s="152"/>
      <c r="M886" s="152"/>
      <c r="N886" s="150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</row>
    <row r="887" customFormat="false" ht="11.25" hidden="false" customHeight="true" outlineLevel="0" collapsed="false">
      <c r="A887" s="89"/>
      <c r="B887" s="89"/>
      <c r="C887" s="89"/>
      <c r="D887" s="150"/>
      <c r="E887" s="152"/>
      <c r="F887" s="151"/>
      <c r="G887" s="151"/>
      <c r="H887" s="151"/>
      <c r="I887" s="151"/>
      <c r="J887" s="152"/>
      <c r="K887" s="152"/>
      <c r="L887" s="152"/>
      <c r="M887" s="152"/>
      <c r="N887" s="150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</row>
    <row r="888" customFormat="false" ht="11.25" hidden="false" customHeight="true" outlineLevel="0" collapsed="false">
      <c r="A888" s="89"/>
      <c r="B888" s="89"/>
      <c r="C888" s="89"/>
      <c r="D888" s="150"/>
      <c r="E888" s="152"/>
      <c r="F888" s="151"/>
      <c r="G888" s="151"/>
      <c r="H888" s="151"/>
      <c r="I888" s="151"/>
      <c r="J888" s="152"/>
      <c r="K888" s="152"/>
      <c r="L888" s="152"/>
      <c r="M888" s="152"/>
      <c r="N888" s="150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</row>
    <row r="889" customFormat="false" ht="11.25" hidden="false" customHeight="true" outlineLevel="0" collapsed="false">
      <c r="A889" s="89"/>
      <c r="B889" s="89"/>
      <c r="C889" s="89"/>
      <c r="D889" s="150"/>
      <c r="E889" s="152"/>
      <c r="F889" s="151"/>
      <c r="G889" s="151"/>
      <c r="H889" s="151"/>
      <c r="I889" s="151"/>
      <c r="J889" s="152"/>
      <c r="K889" s="152"/>
      <c r="L889" s="152"/>
      <c r="M889" s="152"/>
      <c r="N889" s="150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</row>
    <row r="890" customFormat="false" ht="11.25" hidden="false" customHeight="true" outlineLevel="0" collapsed="false">
      <c r="A890" s="89"/>
      <c r="B890" s="89"/>
      <c r="C890" s="89"/>
      <c r="D890" s="150"/>
      <c r="E890" s="152"/>
      <c r="F890" s="151"/>
      <c r="G890" s="151"/>
      <c r="H890" s="151"/>
      <c r="I890" s="151"/>
      <c r="J890" s="152"/>
      <c r="K890" s="152"/>
      <c r="L890" s="152"/>
      <c r="M890" s="152"/>
      <c r="N890" s="150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</row>
    <row r="891" customFormat="false" ht="11.25" hidden="false" customHeight="true" outlineLevel="0" collapsed="false">
      <c r="A891" s="89"/>
      <c r="B891" s="89"/>
      <c r="C891" s="89"/>
      <c r="D891" s="150"/>
      <c r="E891" s="152"/>
      <c r="F891" s="151"/>
      <c r="G891" s="151"/>
      <c r="H891" s="151"/>
      <c r="I891" s="151"/>
      <c r="J891" s="152"/>
      <c r="K891" s="152"/>
      <c r="L891" s="152"/>
      <c r="M891" s="152"/>
      <c r="N891" s="150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</row>
    <row r="892" customFormat="false" ht="11.25" hidden="false" customHeight="true" outlineLevel="0" collapsed="false">
      <c r="A892" s="89"/>
      <c r="B892" s="89"/>
      <c r="C892" s="89"/>
      <c r="D892" s="150"/>
      <c r="E892" s="152"/>
      <c r="F892" s="151"/>
      <c r="G892" s="151"/>
      <c r="H892" s="151"/>
      <c r="I892" s="151"/>
      <c r="J892" s="152"/>
      <c r="K892" s="152"/>
      <c r="L892" s="152"/>
      <c r="M892" s="152"/>
      <c r="N892" s="150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</row>
    <row r="893" customFormat="false" ht="11.25" hidden="false" customHeight="true" outlineLevel="0" collapsed="false">
      <c r="A893" s="89"/>
      <c r="B893" s="89"/>
      <c r="C893" s="89"/>
      <c r="D893" s="150"/>
      <c r="E893" s="152"/>
      <c r="F893" s="151"/>
      <c r="G893" s="151"/>
      <c r="H893" s="151"/>
      <c r="I893" s="151"/>
      <c r="J893" s="152"/>
      <c r="K893" s="152"/>
      <c r="L893" s="152"/>
      <c r="M893" s="152"/>
      <c r="N893" s="150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</row>
    <row r="894" customFormat="false" ht="11.25" hidden="false" customHeight="true" outlineLevel="0" collapsed="false">
      <c r="A894" s="89"/>
      <c r="B894" s="89"/>
      <c r="C894" s="89"/>
      <c r="D894" s="150"/>
      <c r="E894" s="152"/>
      <c r="F894" s="151"/>
      <c r="G894" s="151"/>
      <c r="H894" s="151"/>
      <c r="I894" s="151"/>
      <c r="J894" s="152"/>
      <c r="K894" s="152"/>
      <c r="L894" s="152"/>
      <c r="M894" s="152"/>
      <c r="N894" s="150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</row>
    <row r="895" customFormat="false" ht="11.25" hidden="false" customHeight="true" outlineLevel="0" collapsed="false">
      <c r="A895" s="89"/>
      <c r="B895" s="89"/>
      <c r="C895" s="89"/>
      <c r="D895" s="150"/>
      <c r="E895" s="152"/>
      <c r="F895" s="151"/>
      <c r="G895" s="151"/>
      <c r="H895" s="151"/>
      <c r="I895" s="151"/>
      <c r="J895" s="152"/>
      <c r="K895" s="152"/>
      <c r="L895" s="152"/>
      <c r="M895" s="152"/>
      <c r="N895" s="150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</row>
    <row r="896" customFormat="false" ht="11.25" hidden="false" customHeight="true" outlineLevel="0" collapsed="false">
      <c r="A896" s="89"/>
      <c r="B896" s="89"/>
      <c r="C896" s="89"/>
      <c r="D896" s="150"/>
      <c r="E896" s="152"/>
      <c r="F896" s="151"/>
      <c r="G896" s="151"/>
      <c r="H896" s="151"/>
      <c r="I896" s="151"/>
      <c r="J896" s="152"/>
      <c r="K896" s="152"/>
      <c r="L896" s="152"/>
      <c r="M896" s="152"/>
      <c r="N896" s="150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</row>
    <row r="897" customFormat="false" ht="11.25" hidden="false" customHeight="true" outlineLevel="0" collapsed="false">
      <c r="A897" s="89"/>
      <c r="B897" s="89"/>
      <c r="C897" s="89"/>
      <c r="D897" s="150"/>
      <c r="E897" s="152"/>
      <c r="F897" s="151"/>
      <c r="G897" s="151"/>
      <c r="H897" s="151"/>
      <c r="I897" s="151"/>
      <c r="J897" s="152"/>
      <c r="K897" s="152"/>
      <c r="L897" s="152"/>
      <c r="M897" s="152"/>
      <c r="N897" s="150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</row>
    <row r="898" customFormat="false" ht="11.25" hidden="false" customHeight="true" outlineLevel="0" collapsed="false">
      <c r="A898" s="89"/>
      <c r="B898" s="89"/>
      <c r="C898" s="89"/>
      <c r="D898" s="150"/>
      <c r="E898" s="152"/>
      <c r="F898" s="151"/>
      <c r="G898" s="151"/>
      <c r="H898" s="151"/>
      <c r="I898" s="151"/>
      <c r="J898" s="152"/>
      <c r="K898" s="152"/>
      <c r="L898" s="152"/>
      <c r="M898" s="152"/>
      <c r="N898" s="150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</row>
    <row r="899" customFormat="false" ht="11.25" hidden="false" customHeight="true" outlineLevel="0" collapsed="false">
      <c r="A899" s="89"/>
      <c r="B899" s="89"/>
      <c r="C899" s="89"/>
      <c r="D899" s="150"/>
      <c r="E899" s="152"/>
      <c r="F899" s="151"/>
      <c r="G899" s="151"/>
      <c r="H899" s="151"/>
      <c r="I899" s="151"/>
      <c r="J899" s="152"/>
      <c r="K899" s="152"/>
      <c r="L899" s="152"/>
      <c r="M899" s="152"/>
      <c r="N899" s="150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</row>
    <row r="900" customFormat="false" ht="11.25" hidden="false" customHeight="true" outlineLevel="0" collapsed="false">
      <c r="A900" s="89"/>
      <c r="B900" s="89"/>
      <c r="C900" s="89"/>
      <c r="D900" s="150"/>
      <c r="E900" s="152"/>
      <c r="F900" s="151"/>
      <c r="G900" s="151"/>
      <c r="H900" s="151"/>
      <c r="I900" s="151"/>
      <c r="J900" s="152"/>
      <c r="K900" s="152"/>
      <c r="L900" s="152"/>
      <c r="M900" s="152"/>
      <c r="N900" s="150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</row>
    <row r="901" customFormat="false" ht="11.25" hidden="false" customHeight="true" outlineLevel="0" collapsed="false">
      <c r="A901" s="89"/>
      <c r="B901" s="89"/>
      <c r="C901" s="89"/>
      <c r="D901" s="150"/>
      <c r="E901" s="152"/>
      <c r="F901" s="151"/>
      <c r="G901" s="151"/>
      <c r="H901" s="151"/>
      <c r="I901" s="151"/>
      <c r="J901" s="152"/>
      <c r="K901" s="152"/>
      <c r="L901" s="152"/>
      <c r="M901" s="152"/>
      <c r="N901" s="150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</row>
    <row r="902" customFormat="false" ht="11.25" hidden="false" customHeight="true" outlineLevel="0" collapsed="false">
      <c r="A902" s="89"/>
      <c r="B902" s="89"/>
      <c r="C902" s="89"/>
      <c r="D902" s="150"/>
      <c r="E902" s="152"/>
      <c r="F902" s="151"/>
      <c r="G902" s="151"/>
      <c r="H902" s="151"/>
      <c r="I902" s="151"/>
      <c r="J902" s="152"/>
      <c r="K902" s="152"/>
      <c r="L902" s="152"/>
      <c r="M902" s="152"/>
      <c r="N902" s="150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</row>
    <row r="903" customFormat="false" ht="11.25" hidden="false" customHeight="true" outlineLevel="0" collapsed="false">
      <c r="A903" s="89"/>
      <c r="B903" s="89"/>
      <c r="C903" s="89"/>
      <c r="D903" s="150"/>
      <c r="E903" s="152"/>
      <c r="F903" s="151"/>
      <c r="G903" s="151"/>
      <c r="H903" s="151"/>
      <c r="I903" s="151"/>
      <c r="J903" s="152"/>
      <c r="K903" s="152"/>
      <c r="L903" s="152"/>
      <c r="M903" s="152"/>
      <c r="N903" s="150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</row>
    <row r="904" customFormat="false" ht="11.25" hidden="false" customHeight="true" outlineLevel="0" collapsed="false">
      <c r="A904" s="89"/>
      <c r="B904" s="89"/>
      <c r="C904" s="89"/>
      <c r="D904" s="150"/>
      <c r="E904" s="152"/>
      <c r="F904" s="151"/>
      <c r="G904" s="151"/>
      <c r="H904" s="151"/>
      <c r="I904" s="151"/>
      <c r="J904" s="152"/>
      <c r="K904" s="152"/>
      <c r="L904" s="152"/>
      <c r="M904" s="152"/>
      <c r="N904" s="150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</row>
    <row r="905" customFormat="false" ht="11.25" hidden="false" customHeight="true" outlineLevel="0" collapsed="false">
      <c r="A905" s="89"/>
      <c r="B905" s="89"/>
      <c r="C905" s="89"/>
      <c r="D905" s="150"/>
      <c r="E905" s="152"/>
      <c r="F905" s="151"/>
      <c r="G905" s="151"/>
      <c r="H905" s="151"/>
      <c r="I905" s="151"/>
      <c r="J905" s="152"/>
      <c r="K905" s="152"/>
      <c r="L905" s="152"/>
      <c r="M905" s="152"/>
      <c r="N905" s="150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</row>
    <row r="906" customFormat="false" ht="11.25" hidden="false" customHeight="true" outlineLevel="0" collapsed="false">
      <c r="A906" s="89"/>
      <c r="B906" s="89"/>
      <c r="C906" s="89"/>
      <c r="D906" s="150"/>
      <c r="E906" s="152"/>
      <c r="F906" s="151"/>
      <c r="G906" s="151"/>
      <c r="H906" s="151"/>
      <c r="I906" s="151"/>
      <c r="J906" s="152"/>
      <c r="K906" s="152"/>
      <c r="L906" s="152"/>
      <c r="M906" s="152"/>
      <c r="N906" s="150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</row>
    <row r="907" customFormat="false" ht="11.25" hidden="false" customHeight="true" outlineLevel="0" collapsed="false">
      <c r="A907" s="89"/>
      <c r="B907" s="89"/>
      <c r="C907" s="89"/>
      <c r="D907" s="150"/>
      <c r="E907" s="152"/>
      <c r="F907" s="151"/>
      <c r="G907" s="151"/>
      <c r="H907" s="151"/>
      <c r="I907" s="151"/>
      <c r="J907" s="152"/>
      <c r="K907" s="152"/>
      <c r="L907" s="152"/>
      <c r="M907" s="152"/>
      <c r="N907" s="150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</row>
    <row r="908" customFormat="false" ht="11.25" hidden="false" customHeight="true" outlineLevel="0" collapsed="false">
      <c r="A908" s="89"/>
      <c r="B908" s="89"/>
      <c r="C908" s="89"/>
      <c r="D908" s="150"/>
      <c r="E908" s="152"/>
      <c r="F908" s="151"/>
      <c r="G908" s="151"/>
      <c r="H908" s="151"/>
      <c r="I908" s="151"/>
      <c r="J908" s="152"/>
      <c r="K908" s="152"/>
      <c r="L908" s="152"/>
      <c r="M908" s="152"/>
      <c r="N908" s="150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</row>
    <row r="909" customFormat="false" ht="11.25" hidden="false" customHeight="true" outlineLevel="0" collapsed="false">
      <c r="A909" s="89"/>
      <c r="B909" s="89"/>
      <c r="C909" s="89"/>
      <c r="D909" s="150"/>
      <c r="E909" s="152"/>
      <c r="F909" s="151"/>
      <c r="G909" s="151"/>
      <c r="H909" s="151"/>
      <c r="I909" s="151"/>
      <c r="J909" s="152"/>
      <c r="K909" s="152"/>
      <c r="L909" s="152"/>
      <c r="M909" s="152"/>
      <c r="N909" s="150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</row>
    <row r="910" customFormat="false" ht="11.25" hidden="false" customHeight="true" outlineLevel="0" collapsed="false">
      <c r="A910" s="89"/>
      <c r="B910" s="89"/>
      <c r="C910" s="89"/>
      <c r="D910" s="150"/>
      <c r="E910" s="152"/>
      <c r="F910" s="151"/>
      <c r="G910" s="151"/>
      <c r="H910" s="151"/>
      <c r="I910" s="151"/>
      <c r="J910" s="152"/>
      <c r="K910" s="152"/>
      <c r="L910" s="152"/>
      <c r="M910" s="152"/>
      <c r="N910" s="150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</row>
    <row r="911" customFormat="false" ht="11.25" hidden="false" customHeight="true" outlineLevel="0" collapsed="false">
      <c r="A911" s="89"/>
      <c r="B911" s="89"/>
      <c r="C911" s="89"/>
      <c r="D911" s="150"/>
      <c r="E911" s="152"/>
      <c r="F911" s="151"/>
      <c r="G911" s="151"/>
      <c r="H911" s="151"/>
      <c r="I911" s="151"/>
      <c r="J911" s="152"/>
      <c r="K911" s="152"/>
      <c r="L911" s="152"/>
      <c r="M911" s="152"/>
      <c r="N911" s="150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</row>
    <row r="912" customFormat="false" ht="11.25" hidden="false" customHeight="true" outlineLevel="0" collapsed="false">
      <c r="A912" s="89"/>
      <c r="B912" s="89"/>
      <c r="C912" s="89"/>
      <c r="D912" s="150"/>
      <c r="E912" s="152"/>
      <c r="F912" s="151"/>
      <c r="G912" s="151"/>
      <c r="H912" s="151"/>
      <c r="I912" s="151"/>
      <c r="J912" s="152"/>
      <c r="K912" s="152"/>
      <c r="L912" s="152"/>
      <c r="M912" s="152"/>
      <c r="N912" s="150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</row>
    <row r="913" customFormat="false" ht="11.25" hidden="false" customHeight="true" outlineLevel="0" collapsed="false">
      <c r="A913" s="89"/>
      <c r="B913" s="89"/>
      <c r="C913" s="89"/>
      <c r="D913" s="150"/>
      <c r="E913" s="152"/>
      <c r="F913" s="151"/>
      <c r="G913" s="151"/>
      <c r="H913" s="151"/>
      <c r="I913" s="151"/>
      <c r="J913" s="152"/>
      <c r="K913" s="152"/>
      <c r="L913" s="152"/>
      <c r="M913" s="152"/>
      <c r="N913" s="150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</row>
    <row r="914" customFormat="false" ht="11.25" hidden="false" customHeight="true" outlineLevel="0" collapsed="false">
      <c r="A914" s="89"/>
      <c r="B914" s="89"/>
      <c r="C914" s="89"/>
      <c r="D914" s="150"/>
      <c r="E914" s="152"/>
      <c r="F914" s="151"/>
      <c r="G914" s="151"/>
      <c r="H914" s="151"/>
      <c r="I914" s="151"/>
      <c r="J914" s="152"/>
      <c r="K914" s="152"/>
      <c r="L914" s="152"/>
      <c r="M914" s="152"/>
      <c r="N914" s="150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</row>
    <row r="915" customFormat="false" ht="11.25" hidden="false" customHeight="true" outlineLevel="0" collapsed="false">
      <c r="A915" s="89"/>
      <c r="B915" s="89"/>
      <c r="C915" s="89"/>
      <c r="D915" s="150"/>
      <c r="E915" s="152"/>
      <c r="F915" s="151"/>
      <c r="G915" s="151"/>
      <c r="H915" s="151"/>
      <c r="I915" s="151"/>
      <c r="J915" s="152"/>
      <c r="K915" s="152"/>
      <c r="L915" s="152"/>
      <c r="M915" s="152"/>
      <c r="N915" s="150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</row>
    <row r="916" customFormat="false" ht="11.25" hidden="false" customHeight="true" outlineLevel="0" collapsed="false">
      <c r="A916" s="89"/>
      <c r="B916" s="89"/>
      <c r="C916" s="89"/>
      <c r="D916" s="150"/>
      <c r="E916" s="152"/>
      <c r="F916" s="151"/>
      <c r="G916" s="151"/>
      <c r="H916" s="151"/>
      <c r="I916" s="151"/>
      <c r="J916" s="152"/>
      <c r="K916" s="152"/>
      <c r="L916" s="152"/>
      <c r="M916" s="152"/>
      <c r="N916" s="150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</row>
    <row r="917" customFormat="false" ht="11.25" hidden="false" customHeight="true" outlineLevel="0" collapsed="false">
      <c r="A917" s="89"/>
      <c r="B917" s="89"/>
      <c r="C917" s="89"/>
      <c r="D917" s="150"/>
      <c r="E917" s="152"/>
      <c r="F917" s="151"/>
      <c r="G917" s="151"/>
      <c r="H917" s="151"/>
      <c r="I917" s="151"/>
      <c r="J917" s="152"/>
      <c r="K917" s="152"/>
      <c r="L917" s="152"/>
      <c r="M917" s="152"/>
      <c r="N917" s="150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</row>
    <row r="918" customFormat="false" ht="11.25" hidden="false" customHeight="true" outlineLevel="0" collapsed="false">
      <c r="A918" s="89"/>
      <c r="B918" s="89"/>
      <c r="C918" s="89"/>
      <c r="D918" s="150"/>
      <c r="E918" s="152"/>
      <c r="F918" s="151"/>
      <c r="G918" s="151"/>
      <c r="H918" s="151"/>
      <c r="I918" s="151"/>
      <c r="J918" s="152"/>
      <c r="K918" s="152"/>
      <c r="L918" s="152"/>
      <c r="M918" s="152"/>
      <c r="N918" s="150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</row>
    <row r="919" customFormat="false" ht="11.25" hidden="false" customHeight="true" outlineLevel="0" collapsed="false">
      <c r="A919" s="89"/>
      <c r="B919" s="89"/>
      <c r="C919" s="89"/>
      <c r="D919" s="150"/>
      <c r="E919" s="152"/>
      <c r="F919" s="151"/>
      <c r="G919" s="151"/>
      <c r="H919" s="151"/>
      <c r="I919" s="151"/>
      <c r="J919" s="152"/>
      <c r="K919" s="152"/>
      <c r="L919" s="152"/>
      <c r="M919" s="152"/>
      <c r="N919" s="150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</row>
    <row r="920" customFormat="false" ht="11.25" hidden="false" customHeight="true" outlineLevel="0" collapsed="false">
      <c r="A920" s="89"/>
      <c r="B920" s="89"/>
      <c r="C920" s="89"/>
      <c r="D920" s="150"/>
      <c r="E920" s="152"/>
      <c r="F920" s="151"/>
      <c r="G920" s="151"/>
      <c r="H920" s="151"/>
      <c r="I920" s="151"/>
      <c r="J920" s="152"/>
      <c r="K920" s="152"/>
      <c r="L920" s="152"/>
      <c r="M920" s="152"/>
      <c r="N920" s="150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</row>
    <row r="921" customFormat="false" ht="11.25" hidden="false" customHeight="true" outlineLevel="0" collapsed="false">
      <c r="A921" s="89"/>
      <c r="B921" s="89"/>
      <c r="C921" s="89"/>
      <c r="D921" s="150"/>
      <c r="E921" s="152"/>
      <c r="F921" s="151"/>
      <c r="G921" s="151"/>
      <c r="H921" s="151"/>
      <c r="I921" s="151"/>
      <c r="J921" s="152"/>
      <c r="K921" s="152"/>
      <c r="L921" s="152"/>
      <c r="M921" s="152"/>
      <c r="N921" s="150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</row>
    <row r="922" customFormat="false" ht="11.25" hidden="false" customHeight="true" outlineLevel="0" collapsed="false">
      <c r="A922" s="89"/>
      <c r="B922" s="89"/>
      <c r="C922" s="89"/>
      <c r="D922" s="150"/>
      <c r="E922" s="152"/>
      <c r="F922" s="151"/>
      <c r="G922" s="151"/>
      <c r="H922" s="151"/>
      <c r="I922" s="151"/>
      <c r="J922" s="152"/>
      <c r="K922" s="152"/>
      <c r="L922" s="152"/>
      <c r="M922" s="152"/>
      <c r="N922" s="150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</row>
    <row r="923" customFormat="false" ht="11.25" hidden="false" customHeight="true" outlineLevel="0" collapsed="false">
      <c r="A923" s="89"/>
      <c r="B923" s="89"/>
      <c r="C923" s="89"/>
      <c r="D923" s="150"/>
      <c r="E923" s="152"/>
      <c r="F923" s="151"/>
      <c r="G923" s="151"/>
      <c r="H923" s="151"/>
      <c r="I923" s="151"/>
      <c r="J923" s="152"/>
      <c r="K923" s="152"/>
      <c r="L923" s="152"/>
      <c r="M923" s="152"/>
      <c r="N923" s="150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</row>
    <row r="924" customFormat="false" ht="11.25" hidden="false" customHeight="true" outlineLevel="0" collapsed="false">
      <c r="A924" s="89"/>
      <c r="B924" s="89"/>
      <c r="C924" s="89"/>
      <c r="D924" s="150"/>
      <c r="E924" s="152"/>
      <c r="F924" s="151"/>
      <c r="G924" s="151"/>
      <c r="H924" s="151"/>
      <c r="I924" s="151"/>
      <c r="J924" s="152"/>
      <c r="K924" s="152"/>
      <c r="L924" s="152"/>
      <c r="M924" s="152"/>
      <c r="N924" s="150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</row>
    <row r="925" customFormat="false" ht="11.25" hidden="false" customHeight="true" outlineLevel="0" collapsed="false">
      <c r="A925" s="89"/>
      <c r="B925" s="89"/>
      <c r="C925" s="89"/>
      <c r="D925" s="150"/>
      <c r="E925" s="152"/>
      <c r="F925" s="151"/>
      <c r="G925" s="151"/>
      <c r="H925" s="151"/>
      <c r="I925" s="151"/>
      <c r="J925" s="152"/>
      <c r="K925" s="152"/>
      <c r="L925" s="152"/>
      <c r="M925" s="152"/>
      <c r="N925" s="150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</row>
    <row r="926" customFormat="false" ht="11.25" hidden="false" customHeight="true" outlineLevel="0" collapsed="false">
      <c r="A926" s="89"/>
      <c r="B926" s="89"/>
      <c r="C926" s="89"/>
      <c r="D926" s="150"/>
      <c r="E926" s="152"/>
      <c r="F926" s="151"/>
      <c r="G926" s="151"/>
      <c r="H926" s="151"/>
      <c r="I926" s="151"/>
      <c r="J926" s="152"/>
      <c r="K926" s="152"/>
      <c r="L926" s="152"/>
      <c r="M926" s="152"/>
      <c r="N926" s="150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</row>
    <row r="927" customFormat="false" ht="11.25" hidden="false" customHeight="true" outlineLevel="0" collapsed="false">
      <c r="A927" s="89"/>
      <c r="B927" s="89"/>
      <c r="C927" s="89"/>
      <c r="D927" s="150"/>
      <c r="E927" s="152"/>
      <c r="F927" s="151"/>
      <c r="G927" s="151"/>
      <c r="H927" s="151"/>
      <c r="I927" s="151"/>
      <c r="J927" s="152"/>
      <c r="K927" s="152"/>
      <c r="L927" s="152"/>
      <c r="M927" s="152"/>
      <c r="N927" s="150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</row>
    <row r="928" customFormat="false" ht="11.25" hidden="false" customHeight="true" outlineLevel="0" collapsed="false">
      <c r="A928" s="89"/>
      <c r="B928" s="89"/>
      <c r="C928" s="89"/>
      <c r="D928" s="150"/>
      <c r="E928" s="152"/>
      <c r="F928" s="151"/>
      <c r="G928" s="151"/>
      <c r="H928" s="151"/>
      <c r="I928" s="151"/>
      <c r="J928" s="152"/>
      <c r="K928" s="152"/>
      <c r="L928" s="152"/>
      <c r="M928" s="152"/>
      <c r="N928" s="150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</row>
    <row r="929" customFormat="false" ht="11.25" hidden="false" customHeight="true" outlineLevel="0" collapsed="false">
      <c r="A929" s="89"/>
      <c r="B929" s="89"/>
      <c r="C929" s="89"/>
      <c r="D929" s="150"/>
      <c r="E929" s="152"/>
      <c r="F929" s="151"/>
      <c r="G929" s="151"/>
      <c r="H929" s="151"/>
      <c r="I929" s="151"/>
      <c r="J929" s="152"/>
      <c r="K929" s="152"/>
      <c r="L929" s="152"/>
      <c r="M929" s="152"/>
      <c r="N929" s="150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</row>
    <row r="930" customFormat="false" ht="11.25" hidden="false" customHeight="true" outlineLevel="0" collapsed="false">
      <c r="A930" s="89"/>
      <c r="B930" s="89"/>
      <c r="C930" s="89"/>
      <c r="D930" s="150"/>
      <c r="E930" s="152"/>
      <c r="F930" s="151"/>
      <c r="G930" s="151"/>
      <c r="H930" s="151"/>
      <c r="I930" s="151"/>
      <c r="J930" s="152"/>
      <c r="K930" s="152"/>
      <c r="L930" s="152"/>
      <c r="M930" s="152"/>
      <c r="N930" s="150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</row>
    <row r="931" customFormat="false" ht="11.25" hidden="false" customHeight="true" outlineLevel="0" collapsed="false">
      <c r="A931" s="89"/>
      <c r="B931" s="89"/>
      <c r="C931" s="89"/>
      <c r="D931" s="150"/>
      <c r="E931" s="152"/>
      <c r="F931" s="151"/>
      <c r="G931" s="151"/>
      <c r="H931" s="151"/>
      <c r="I931" s="151"/>
      <c r="J931" s="152"/>
      <c r="K931" s="152"/>
      <c r="L931" s="152"/>
      <c r="M931" s="152"/>
      <c r="N931" s="150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</row>
    <row r="932" customFormat="false" ht="11.25" hidden="false" customHeight="true" outlineLevel="0" collapsed="false">
      <c r="A932" s="89"/>
      <c r="B932" s="89"/>
      <c r="C932" s="89"/>
      <c r="D932" s="150"/>
      <c r="E932" s="152"/>
      <c r="F932" s="151"/>
      <c r="G932" s="151"/>
      <c r="H932" s="151"/>
      <c r="I932" s="151"/>
      <c r="J932" s="152"/>
      <c r="K932" s="152"/>
      <c r="L932" s="152"/>
      <c r="M932" s="152"/>
      <c r="N932" s="150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</row>
    <row r="933" customFormat="false" ht="11.25" hidden="false" customHeight="true" outlineLevel="0" collapsed="false">
      <c r="A933" s="89"/>
      <c r="B933" s="89"/>
      <c r="C933" s="89"/>
      <c r="D933" s="150"/>
      <c r="E933" s="152"/>
      <c r="F933" s="151"/>
      <c r="G933" s="151"/>
      <c r="H933" s="151"/>
      <c r="I933" s="151"/>
      <c r="J933" s="152"/>
      <c r="K933" s="152"/>
      <c r="L933" s="152"/>
      <c r="M933" s="152"/>
      <c r="N933" s="150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</row>
    <row r="934" customFormat="false" ht="11.25" hidden="false" customHeight="true" outlineLevel="0" collapsed="false">
      <c r="A934" s="89"/>
      <c r="B934" s="89"/>
      <c r="C934" s="89"/>
      <c r="D934" s="150"/>
      <c r="E934" s="152"/>
      <c r="F934" s="151"/>
      <c r="G934" s="151"/>
      <c r="H934" s="151"/>
      <c r="I934" s="151"/>
      <c r="J934" s="152"/>
      <c r="K934" s="152"/>
      <c r="L934" s="152"/>
      <c r="M934" s="152"/>
      <c r="N934" s="150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</row>
    <row r="935" customFormat="false" ht="11.25" hidden="false" customHeight="true" outlineLevel="0" collapsed="false">
      <c r="A935" s="89"/>
      <c r="B935" s="89"/>
      <c r="C935" s="89"/>
      <c r="D935" s="150"/>
      <c r="E935" s="152"/>
      <c r="F935" s="151"/>
      <c r="G935" s="151"/>
      <c r="H935" s="151"/>
      <c r="I935" s="151"/>
      <c r="J935" s="152"/>
      <c r="K935" s="152"/>
      <c r="L935" s="152"/>
      <c r="M935" s="152"/>
      <c r="N935" s="150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</row>
    <row r="936" customFormat="false" ht="11.25" hidden="false" customHeight="true" outlineLevel="0" collapsed="false">
      <c r="A936" s="89"/>
      <c r="B936" s="89"/>
      <c r="C936" s="89"/>
      <c r="D936" s="150"/>
      <c r="E936" s="152"/>
      <c r="F936" s="151"/>
      <c r="G936" s="151"/>
      <c r="H936" s="151"/>
      <c r="I936" s="151"/>
      <c r="J936" s="152"/>
      <c r="K936" s="152"/>
      <c r="L936" s="152"/>
      <c r="M936" s="152"/>
      <c r="N936" s="150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</row>
    <row r="937" customFormat="false" ht="11.25" hidden="false" customHeight="true" outlineLevel="0" collapsed="false">
      <c r="A937" s="89"/>
      <c r="B937" s="89"/>
      <c r="C937" s="89"/>
      <c r="D937" s="150"/>
      <c r="E937" s="152"/>
      <c r="F937" s="151"/>
      <c r="G937" s="151"/>
      <c r="H937" s="151"/>
      <c r="I937" s="151"/>
      <c r="J937" s="152"/>
      <c r="K937" s="152"/>
      <c r="L937" s="152"/>
      <c r="M937" s="152"/>
      <c r="N937" s="150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</row>
    <row r="938" customFormat="false" ht="11.25" hidden="false" customHeight="true" outlineLevel="0" collapsed="false">
      <c r="A938" s="89"/>
      <c r="B938" s="89"/>
      <c r="C938" s="89"/>
      <c r="D938" s="150"/>
      <c r="E938" s="152"/>
      <c r="F938" s="151"/>
      <c r="G938" s="151"/>
      <c r="H938" s="151"/>
      <c r="I938" s="151"/>
      <c r="J938" s="152"/>
      <c r="K938" s="152"/>
      <c r="L938" s="152"/>
      <c r="M938" s="152"/>
      <c r="N938" s="150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</row>
    <row r="939" customFormat="false" ht="11.25" hidden="false" customHeight="true" outlineLevel="0" collapsed="false">
      <c r="A939" s="89"/>
      <c r="B939" s="89"/>
      <c r="C939" s="89"/>
      <c r="D939" s="150"/>
      <c r="E939" s="152"/>
      <c r="F939" s="151"/>
      <c r="G939" s="151"/>
      <c r="H939" s="151"/>
      <c r="I939" s="151"/>
      <c r="J939" s="152"/>
      <c r="K939" s="152"/>
      <c r="L939" s="152"/>
      <c r="M939" s="152"/>
      <c r="N939" s="150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</row>
    <row r="940" customFormat="false" ht="11.25" hidden="false" customHeight="true" outlineLevel="0" collapsed="false">
      <c r="A940" s="89"/>
      <c r="B940" s="89"/>
      <c r="C940" s="89"/>
      <c r="D940" s="150"/>
      <c r="E940" s="152"/>
      <c r="F940" s="151"/>
      <c r="G940" s="151"/>
      <c r="H940" s="151"/>
      <c r="I940" s="151"/>
      <c r="J940" s="152"/>
      <c r="K940" s="152"/>
      <c r="L940" s="152"/>
      <c r="M940" s="152"/>
      <c r="N940" s="150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</row>
    <row r="941" customFormat="false" ht="11.25" hidden="false" customHeight="true" outlineLevel="0" collapsed="false">
      <c r="A941" s="89"/>
      <c r="B941" s="89"/>
      <c r="C941" s="89"/>
      <c r="D941" s="150"/>
      <c r="E941" s="152"/>
      <c r="F941" s="151"/>
      <c r="G941" s="151"/>
      <c r="H941" s="151"/>
      <c r="I941" s="151"/>
      <c r="J941" s="152"/>
      <c r="K941" s="152"/>
      <c r="L941" s="152"/>
      <c r="M941" s="152"/>
      <c r="N941" s="150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</row>
    <row r="942" customFormat="false" ht="11.25" hidden="false" customHeight="true" outlineLevel="0" collapsed="false">
      <c r="A942" s="89"/>
      <c r="B942" s="89"/>
      <c r="C942" s="89"/>
      <c r="D942" s="150"/>
      <c r="E942" s="152"/>
      <c r="F942" s="151"/>
      <c r="G942" s="151"/>
      <c r="H942" s="151"/>
      <c r="I942" s="151"/>
      <c r="J942" s="152"/>
      <c r="K942" s="152"/>
      <c r="L942" s="152"/>
      <c r="M942" s="152"/>
      <c r="N942" s="150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</row>
    <row r="943" customFormat="false" ht="11.25" hidden="false" customHeight="true" outlineLevel="0" collapsed="false">
      <c r="A943" s="89"/>
      <c r="B943" s="89"/>
      <c r="C943" s="89"/>
      <c r="D943" s="150"/>
      <c r="E943" s="152"/>
      <c r="F943" s="151"/>
      <c r="G943" s="151"/>
      <c r="H943" s="151"/>
      <c r="I943" s="151"/>
      <c r="J943" s="152"/>
      <c r="K943" s="152"/>
      <c r="L943" s="152"/>
      <c r="M943" s="152"/>
      <c r="N943" s="150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</row>
    <row r="944" customFormat="false" ht="11.25" hidden="false" customHeight="true" outlineLevel="0" collapsed="false">
      <c r="A944" s="89"/>
      <c r="B944" s="89"/>
      <c r="C944" s="89"/>
      <c r="D944" s="150"/>
      <c r="E944" s="152"/>
      <c r="F944" s="151"/>
      <c r="G944" s="151"/>
      <c r="H944" s="151"/>
      <c r="I944" s="151"/>
      <c r="J944" s="152"/>
      <c r="K944" s="152"/>
      <c r="L944" s="152"/>
      <c r="M944" s="152"/>
      <c r="N944" s="150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</row>
    <row r="945" customFormat="false" ht="11.25" hidden="false" customHeight="true" outlineLevel="0" collapsed="false">
      <c r="A945" s="89"/>
      <c r="B945" s="89"/>
      <c r="C945" s="89"/>
      <c r="D945" s="150"/>
      <c r="E945" s="152"/>
      <c r="F945" s="151"/>
      <c r="G945" s="151"/>
      <c r="H945" s="151"/>
      <c r="I945" s="151"/>
      <c r="J945" s="152"/>
      <c r="K945" s="152"/>
      <c r="L945" s="152"/>
      <c r="M945" s="152"/>
      <c r="N945" s="150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</row>
    <row r="946" customFormat="false" ht="11.25" hidden="false" customHeight="true" outlineLevel="0" collapsed="false">
      <c r="A946" s="89"/>
      <c r="B946" s="89"/>
      <c r="C946" s="89"/>
      <c r="D946" s="150"/>
      <c r="E946" s="152"/>
      <c r="F946" s="151"/>
      <c r="G946" s="151"/>
      <c r="H946" s="151"/>
      <c r="I946" s="151"/>
      <c r="J946" s="152"/>
      <c r="K946" s="152"/>
      <c r="L946" s="152"/>
      <c r="M946" s="152"/>
      <c r="N946" s="150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</row>
    <row r="947" customFormat="false" ht="11.25" hidden="false" customHeight="true" outlineLevel="0" collapsed="false">
      <c r="A947" s="89"/>
      <c r="B947" s="89"/>
      <c r="C947" s="89"/>
      <c r="D947" s="150"/>
      <c r="E947" s="152"/>
      <c r="F947" s="151"/>
      <c r="G947" s="151"/>
      <c r="H947" s="151"/>
      <c r="I947" s="151"/>
      <c r="J947" s="152"/>
      <c r="K947" s="152"/>
      <c r="L947" s="152"/>
      <c r="M947" s="152"/>
      <c r="N947" s="150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</row>
    <row r="948" customFormat="false" ht="11.25" hidden="false" customHeight="true" outlineLevel="0" collapsed="false">
      <c r="A948" s="89"/>
      <c r="B948" s="89"/>
      <c r="C948" s="89"/>
      <c r="D948" s="150"/>
      <c r="E948" s="152"/>
      <c r="F948" s="151"/>
      <c r="G948" s="151"/>
      <c r="H948" s="151"/>
      <c r="I948" s="151"/>
      <c r="J948" s="152"/>
      <c r="K948" s="152"/>
      <c r="L948" s="152"/>
      <c r="M948" s="152"/>
      <c r="N948" s="150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</row>
    <row r="949" customFormat="false" ht="11.25" hidden="false" customHeight="true" outlineLevel="0" collapsed="false">
      <c r="A949" s="89"/>
      <c r="B949" s="89"/>
      <c r="C949" s="89"/>
      <c r="D949" s="150"/>
      <c r="E949" s="152"/>
      <c r="F949" s="151"/>
      <c r="G949" s="151"/>
      <c r="H949" s="151"/>
      <c r="I949" s="151"/>
      <c r="J949" s="152"/>
      <c r="K949" s="152"/>
      <c r="L949" s="152"/>
      <c r="M949" s="152"/>
      <c r="N949" s="150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</row>
    <row r="950" customFormat="false" ht="11.25" hidden="false" customHeight="true" outlineLevel="0" collapsed="false">
      <c r="A950" s="89"/>
      <c r="B950" s="89"/>
      <c r="C950" s="89"/>
      <c r="D950" s="150"/>
      <c r="E950" s="152"/>
      <c r="F950" s="151"/>
      <c r="G950" s="151"/>
      <c r="H950" s="151"/>
      <c r="I950" s="151"/>
      <c r="J950" s="152"/>
      <c r="K950" s="152"/>
      <c r="L950" s="152"/>
      <c r="M950" s="152"/>
      <c r="N950" s="150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</row>
    <row r="951" customFormat="false" ht="11.25" hidden="false" customHeight="true" outlineLevel="0" collapsed="false">
      <c r="A951" s="89"/>
      <c r="B951" s="89"/>
      <c r="C951" s="89"/>
      <c r="D951" s="150"/>
      <c r="E951" s="152"/>
      <c r="F951" s="151"/>
      <c r="G951" s="151"/>
      <c r="H951" s="151"/>
      <c r="I951" s="151"/>
      <c r="J951" s="152"/>
      <c r="K951" s="152"/>
      <c r="L951" s="152"/>
      <c r="M951" s="152"/>
      <c r="N951" s="150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</row>
    <row r="952" customFormat="false" ht="11.25" hidden="false" customHeight="true" outlineLevel="0" collapsed="false">
      <c r="A952" s="89"/>
      <c r="B952" s="89"/>
      <c r="C952" s="89"/>
      <c r="D952" s="150"/>
      <c r="E952" s="152"/>
      <c r="F952" s="151"/>
      <c r="G952" s="151"/>
      <c r="H952" s="151"/>
      <c r="I952" s="151"/>
      <c r="J952" s="152"/>
      <c r="K952" s="152"/>
      <c r="L952" s="152"/>
      <c r="M952" s="152"/>
      <c r="N952" s="150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</row>
    <row r="953" customFormat="false" ht="11.25" hidden="false" customHeight="true" outlineLevel="0" collapsed="false">
      <c r="A953" s="89"/>
      <c r="B953" s="89"/>
      <c r="C953" s="89"/>
      <c r="D953" s="150"/>
      <c r="E953" s="152"/>
      <c r="F953" s="151"/>
      <c r="G953" s="151"/>
      <c r="H953" s="151"/>
      <c r="I953" s="151"/>
      <c r="J953" s="152"/>
      <c r="K953" s="152"/>
      <c r="L953" s="152"/>
      <c r="M953" s="152"/>
      <c r="N953" s="150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</row>
    <row r="954" customFormat="false" ht="11.25" hidden="false" customHeight="true" outlineLevel="0" collapsed="false">
      <c r="A954" s="89"/>
      <c r="B954" s="89"/>
      <c r="C954" s="89"/>
      <c r="D954" s="150"/>
      <c r="E954" s="152"/>
      <c r="F954" s="151"/>
      <c r="G954" s="151"/>
      <c r="H954" s="151"/>
      <c r="I954" s="151"/>
      <c r="J954" s="152"/>
      <c r="K954" s="152"/>
      <c r="L954" s="152"/>
      <c r="M954" s="152"/>
      <c r="N954" s="150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</row>
    <row r="955" customFormat="false" ht="11.25" hidden="false" customHeight="true" outlineLevel="0" collapsed="false">
      <c r="A955" s="89"/>
      <c r="B955" s="89"/>
      <c r="C955" s="89"/>
      <c r="D955" s="150"/>
      <c r="E955" s="152"/>
      <c r="F955" s="151"/>
      <c r="G955" s="151"/>
      <c r="H955" s="151"/>
      <c r="I955" s="151"/>
      <c r="J955" s="152"/>
      <c r="K955" s="152"/>
      <c r="L955" s="152"/>
      <c r="M955" s="152"/>
      <c r="N955" s="150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</row>
    <row r="956" customFormat="false" ht="11.25" hidden="false" customHeight="true" outlineLevel="0" collapsed="false">
      <c r="A956" s="89"/>
      <c r="B956" s="89"/>
      <c r="C956" s="89"/>
      <c r="D956" s="150"/>
      <c r="E956" s="152"/>
      <c r="F956" s="151"/>
      <c r="G956" s="151"/>
      <c r="H956" s="151"/>
      <c r="I956" s="151"/>
      <c r="J956" s="152"/>
      <c r="K956" s="152"/>
      <c r="L956" s="152"/>
      <c r="M956" s="152"/>
      <c r="N956" s="150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</row>
    <row r="957" customFormat="false" ht="11.25" hidden="false" customHeight="true" outlineLevel="0" collapsed="false">
      <c r="A957" s="89"/>
      <c r="B957" s="89"/>
      <c r="C957" s="89"/>
      <c r="D957" s="150"/>
      <c r="E957" s="152"/>
      <c r="F957" s="151"/>
      <c r="G957" s="151"/>
      <c r="H957" s="151"/>
      <c r="I957" s="151"/>
      <c r="J957" s="152"/>
      <c r="K957" s="152"/>
      <c r="L957" s="152"/>
      <c r="M957" s="152"/>
      <c r="N957" s="150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</row>
    <row r="958" customFormat="false" ht="11.25" hidden="false" customHeight="true" outlineLevel="0" collapsed="false">
      <c r="A958" s="89"/>
      <c r="B958" s="89"/>
      <c r="C958" s="89"/>
      <c r="D958" s="150"/>
      <c r="E958" s="152"/>
      <c r="F958" s="151"/>
      <c r="G958" s="151"/>
      <c r="H958" s="151"/>
      <c r="I958" s="151"/>
      <c r="J958" s="152"/>
      <c r="K958" s="152"/>
      <c r="L958" s="152"/>
      <c r="M958" s="152"/>
      <c r="N958" s="150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</row>
    <row r="959" customFormat="false" ht="11.25" hidden="false" customHeight="true" outlineLevel="0" collapsed="false">
      <c r="A959" s="89"/>
      <c r="B959" s="89"/>
      <c r="C959" s="89"/>
      <c r="D959" s="150"/>
      <c r="E959" s="152"/>
      <c r="F959" s="151"/>
      <c r="G959" s="151"/>
      <c r="H959" s="151"/>
      <c r="I959" s="151"/>
      <c r="J959" s="152"/>
      <c r="K959" s="152"/>
      <c r="L959" s="152"/>
      <c r="M959" s="152"/>
      <c r="N959" s="150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</row>
    <row r="960" customFormat="false" ht="11.25" hidden="false" customHeight="true" outlineLevel="0" collapsed="false">
      <c r="A960" s="89"/>
      <c r="B960" s="89"/>
      <c r="C960" s="89"/>
      <c r="D960" s="150"/>
      <c r="E960" s="152"/>
      <c r="F960" s="151"/>
      <c r="G960" s="151"/>
      <c r="H960" s="151"/>
      <c r="I960" s="151"/>
      <c r="J960" s="152"/>
      <c r="K960" s="152"/>
      <c r="L960" s="152"/>
      <c r="M960" s="152"/>
      <c r="N960" s="150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</row>
    <row r="961" customFormat="false" ht="11.25" hidden="false" customHeight="true" outlineLevel="0" collapsed="false">
      <c r="A961" s="89"/>
      <c r="B961" s="89"/>
      <c r="C961" s="89"/>
      <c r="D961" s="150"/>
      <c r="E961" s="152"/>
      <c r="F961" s="151"/>
      <c r="G961" s="151"/>
      <c r="H961" s="151"/>
      <c r="I961" s="151"/>
      <c r="J961" s="152"/>
      <c r="K961" s="152"/>
      <c r="L961" s="152"/>
      <c r="M961" s="152"/>
      <c r="N961" s="150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</row>
    <row r="962" customFormat="false" ht="11.25" hidden="false" customHeight="true" outlineLevel="0" collapsed="false">
      <c r="A962" s="89"/>
      <c r="B962" s="89"/>
      <c r="C962" s="89"/>
      <c r="D962" s="150"/>
      <c r="E962" s="152"/>
      <c r="F962" s="151"/>
      <c r="G962" s="151"/>
      <c r="H962" s="151"/>
      <c r="I962" s="151"/>
      <c r="J962" s="152"/>
      <c r="K962" s="152"/>
      <c r="L962" s="152"/>
      <c r="M962" s="152"/>
      <c r="N962" s="150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</row>
    <row r="963" customFormat="false" ht="11.25" hidden="false" customHeight="true" outlineLevel="0" collapsed="false">
      <c r="A963" s="89"/>
      <c r="B963" s="89"/>
      <c r="C963" s="89"/>
      <c r="D963" s="150"/>
      <c r="E963" s="152"/>
      <c r="F963" s="151"/>
      <c r="G963" s="151"/>
      <c r="H963" s="151"/>
      <c r="I963" s="151"/>
      <c r="J963" s="152"/>
      <c r="K963" s="152"/>
      <c r="L963" s="152"/>
      <c r="M963" s="152"/>
      <c r="N963" s="150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</row>
    <row r="964" customFormat="false" ht="11.25" hidden="false" customHeight="true" outlineLevel="0" collapsed="false">
      <c r="A964" s="89"/>
      <c r="B964" s="89"/>
      <c r="C964" s="89"/>
      <c r="D964" s="150"/>
      <c r="E964" s="152"/>
      <c r="F964" s="151"/>
      <c r="G964" s="151"/>
      <c r="H964" s="151"/>
      <c r="I964" s="151"/>
      <c r="J964" s="152"/>
      <c r="K964" s="152"/>
      <c r="L964" s="152"/>
      <c r="M964" s="152"/>
      <c r="N964" s="150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</row>
    <row r="965" customFormat="false" ht="11.25" hidden="false" customHeight="true" outlineLevel="0" collapsed="false">
      <c r="A965" s="89"/>
      <c r="B965" s="89"/>
      <c r="C965" s="89"/>
      <c r="D965" s="150"/>
      <c r="E965" s="152"/>
      <c r="F965" s="151"/>
      <c r="G965" s="151"/>
      <c r="H965" s="151"/>
      <c r="I965" s="151"/>
      <c r="J965" s="152"/>
      <c r="K965" s="152"/>
      <c r="L965" s="152"/>
      <c r="M965" s="152"/>
      <c r="N965" s="150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</row>
    <row r="966" customFormat="false" ht="11.25" hidden="false" customHeight="true" outlineLevel="0" collapsed="false">
      <c r="A966" s="89"/>
      <c r="B966" s="89"/>
      <c r="C966" s="89"/>
      <c r="D966" s="150"/>
      <c r="E966" s="152"/>
      <c r="F966" s="151"/>
      <c r="G966" s="151"/>
      <c r="H966" s="151"/>
      <c r="I966" s="151"/>
      <c r="J966" s="152"/>
      <c r="K966" s="152"/>
      <c r="L966" s="152"/>
      <c r="M966" s="152"/>
      <c r="N966" s="150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</row>
    <row r="967" customFormat="false" ht="11.25" hidden="false" customHeight="true" outlineLevel="0" collapsed="false">
      <c r="A967" s="89"/>
      <c r="B967" s="89"/>
      <c r="C967" s="89"/>
      <c r="D967" s="150"/>
      <c r="E967" s="152"/>
      <c r="F967" s="151"/>
      <c r="G967" s="151"/>
      <c r="H967" s="151"/>
      <c r="I967" s="151"/>
      <c r="J967" s="152"/>
      <c r="K967" s="152"/>
      <c r="L967" s="152"/>
      <c r="M967" s="152"/>
      <c r="N967" s="150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</row>
    <row r="968" customFormat="false" ht="11.25" hidden="false" customHeight="true" outlineLevel="0" collapsed="false">
      <c r="A968" s="89"/>
      <c r="B968" s="89"/>
      <c r="C968" s="89"/>
      <c r="D968" s="150"/>
      <c r="E968" s="152"/>
      <c r="F968" s="151"/>
      <c r="G968" s="151"/>
      <c r="H968" s="151"/>
      <c r="I968" s="151"/>
      <c r="J968" s="152"/>
      <c r="K968" s="152"/>
      <c r="L968" s="152"/>
      <c r="M968" s="152"/>
      <c r="N968" s="150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</row>
    <row r="969" customFormat="false" ht="11.25" hidden="false" customHeight="true" outlineLevel="0" collapsed="false">
      <c r="A969" s="89"/>
      <c r="B969" s="89"/>
      <c r="C969" s="89"/>
      <c r="D969" s="150"/>
      <c r="E969" s="152"/>
      <c r="F969" s="151"/>
      <c r="G969" s="151"/>
      <c r="H969" s="151"/>
      <c r="I969" s="151"/>
      <c r="J969" s="152"/>
      <c r="K969" s="152"/>
      <c r="L969" s="152"/>
      <c r="M969" s="152"/>
      <c r="N969" s="150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</row>
    <row r="970" customFormat="false" ht="11.25" hidden="false" customHeight="true" outlineLevel="0" collapsed="false">
      <c r="A970" s="89"/>
      <c r="B970" s="89"/>
      <c r="C970" s="89"/>
      <c r="D970" s="150"/>
      <c r="E970" s="152"/>
      <c r="F970" s="151"/>
      <c r="G970" s="151"/>
      <c r="H970" s="151"/>
      <c r="I970" s="151"/>
      <c r="J970" s="152"/>
      <c r="K970" s="152"/>
      <c r="L970" s="152"/>
      <c r="M970" s="152"/>
      <c r="N970" s="150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</row>
    <row r="971" customFormat="false" ht="11.25" hidden="false" customHeight="true" outlineLevel="0" collapsed="false">
      <c r="A971" s="89"/>
      <c r="B971" s="89"/>
      <c r="C971" s="89"/>
      <c r="D971" s="150"/>
      <c r="E971" s="152"/>
      <c r="F971" s="151"/>
      <c r="G971" s="151"/>
      <c r="H971" s="151"/>
      <c r="I971" s="151"/>
      <c r="J971" s="152"/>
      <c r="K971" s="152"/>
      <c r="L971" s="152"/>
      <c r="M971" s="152"/>
      <c r="N971" s="150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</row>
    <row r="972" customFormat="false" ht="11.25" hidden="false" customHeight="true" outlineLevel="0" collapsed="false">
      <c r="A972" s="89"/>
      <c r="B972" s="89"/>
      <c r="C972" s="89"/>
      <c r="D972" s="150"/>
      <c r="E972" s="152"/>
      <c r="F972" s="151"/>
      <c r="G972" s="151"/>
      <c r="H972" s="151"/>
      <c r="I972" s="151"/>
      <c r="J972" s="152"/>
      <c r="K972" s="152"/>
      <c r="L972" s="152"/>
      <c r="M972" s="152"/>
      <c r="N972" s="150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</row>
    <row r="973" customFormat="false" ht="11.25" hidden="false" customHeight="true" outlineLevel="0" collapsed="false">
      <c r="A973" s="89"/>
      <c r="B973" s="89"/>
      <c r="C973" s="89"/>
      <c r="D973" s="150"/>
      <c r="E973" s="152"/>
      <c r="F973" s="151"/>
      <c r="G973" s="151"/>
      <c r="H973" s="151"/>
      <c r="I973" s="151"/>
      <c r="J973" s="152"/>
      <c r="K973" s="152"/>
      <c r="L973" s="152"/>
      <c r="M973" s="152"/>
      <c r="N973" s="150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</row>
    <row r="974" customFormat="false" ht="11.25" hidden="false" customHeight="true" outlineLevel="0" collapsed="false">
      <c r="A974" s="89"/>
      <c r="B974" s="89"/>
      <c r="C974" s="89"/>
      <c r="D974" s="150"/>
      <c r="E974" s="152"/>
      <c r="F974" s="151"/>
      <c r="G974" s="151"/>
      <c r="H974" s="151"/>
      <c r="I974" s="151"/>
      <c r="J974" s="152"/>
      <c r="K974" s="152"/>
      <c r="L974" s="152"/>
      <c r="M974" s="152"/>
      <c r="N974" s="150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</row>
    <row r="975" customFormat="false" ht="11.25" hidden="false" customHeight="true" outlineLevel="0" collapsed="false">
      <c r="A975" s="89"/>
      <c r="B975" s="89"/>
      <c r="C975" s="89"/>
      <c r="D975" s="150"/>
      <c r="E975" s="152"/>
      <c r="F975" s="151"/>
      <c r="G975" s="151"/>
      <c r="H975" s="151"/>
      <c r="I975" s="151"/>
      <c r="J975" s="152"/>
      <c r="K975" s="152"/>
      <c r="L975" s="152"/>
      <c r="M975" s="152"/>
      <c r="N975" s="150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</row>
    <row r="976" customFormat="false" ht="11.25" hidden="false" customHeight="true" outlineLevel="0" collapsed="false">
      <c r="A976" s="89"/>
      <c r="B976" s="89"/>
      <c r="C976" s="89"/>
      <c r="D976" s="150"/>
      <c r="E976" s="152"/>
      <c r="F976" s="151"/>
      <c r="G976" s="151"/>
      <c r="H976" s="151"/>
      <c r="I976" s="151"/>
      <c r="J976" s="152"/>
      <c r="K976" s="152"/>
      <c r="L976" s="152"/>
      <c r="M976" s="152"/>
      <c r="N976" s="150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</row>
    <row r="977" customFormat="false" ht="11.25" hidden="false" customHeight="true" outlineLevel="0" collapsed="false">
      <c r="A977" s="89"/>
      <c r="B977" s="89"/>
      <c r="C977" s="89"/>
      <c r="D977" s="150"/>
      <c r="E977" s="152"/>
      <c r="F977" s="151"/>
      <c r="G977" s="151"/>
      <c r="H977" s="151"/>
      <c r="I977" s="151"/>
      <c r="J977" s="152"/>
      <c r="K977" s="152"/>
      <c r="L977" s="152"/>
      <c r="M977" s="152"/>
      <c r="N977" s="150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</row>
    <row r="978" customFormat="false" ht="11.25" hidden="false" customHeight="true" outlineLevel="0" collapsed="false">
      <c r="A978" s="89"/>
      <c r="B978" s="89"/>
      <c r="C978" s="89"/>
      <c r="D978" s="150"/>
      <c r="E978" s="152"/>
      <c r="F978" s="151"/>
      <c r="G978" s="151"/>
      <c r="H978" s="151"/>
      <c r="I978" s="151"/>
      <c r="J978" s="152"/>
      <c r="K978" s="152"/>
      <c r="L978" s="152"/>
      <c r="M978" s="152"/>
      <c r="N978" s="150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</row>
    <row r="979" customFormat="false" ht="11.25" hidden="false" customHeight="true" outlineLevel="0" collapsed="false">
      <c r="A979" s="89"/>
      <c r="B979" s="89"/>
      <c r="C979" s="89"/>
      <c r="D979" s="150"/>
      <c r="E979" s="152"/>
      <c r="F979" s="151"/>
      <c r="G979" s="151"/>
      <c r="H979" s="151"/>
      <c r="I979" s="151"/>
      <c r="J979" s="152"/>
      <c r="K979" s="152"/>
      <c r="L979" s="152"/>
      <c r="M979" s="152"/>
      <c r="N979" s="150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</row>
    <row r="980" customFormat="false" ht="11.25" hidden="false" customHeight="true" outlineLevel="0" collapsed="false">
      <c r="A980" s="89"/>
      <c r="B980" s="89"/>
      <c r="C980" s="89"/>
      <c r="D980" s="150"/>
      <c r="E980" s="152"/>
      <c r="F980" s="151"/>
      <c r="G980" s="151"/>
      <c r="H980" s="151"/>
      <c r="I980" s="151"/>
      <c r="J980" s="152"/>
      <c r="K980" s="152"/>
      <c r="L980" s="152"/>
      <c r="M980" s="152"/>
      <c r="N980" s="150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</row>
    <row r="981" customFormat="false" ht="11.25" hidden="false" customHeight="true" outlineLevel="0" collapsed="false">
      <c r="A981" s="89"/>
      <c r="B981" s="89"/>
      <c r="C981" s="89"/>
      <c r="D981" s="150"/>
      <c r="E981" s="152"/>
      <c r="F981" s="151"/>
      <c r="G981" s="151"/>
      <c r="H981" s="151"/>
      <c r="I981" s="151"/>
      <c r="J981" s="152"/>
      <c r="K981" s="152"/>
      <c r="L981" s="152"/>
      <c r="M981" s="152"/>
      <c r="N981" s="150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</row>
    <row r="982" customFormat="false" ht="11.25" hidden="false" customHeight="true" outlineLevel="0" collapsed="false">
      <c r="A982" s="89"/>
      <c r="B982" s="89"/>
      <c r="C982" s="89"/>
      <c r="D982" s="150"/>
      <c r="E982" s="152"/>
      <c r="F982" s="151"/>
      <c r="G982" s="151"/>
      <c r="H982" s="151"/>
      <c r="I982" s="151"/>
      <c r="J982" s="152"/>
      <c r="K982" s="152"/>
      <c r="L982" s="152"/>
      <c r="M982" s="152"/>
      <c r="N982" s="150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</row>
    <row r="983" customFormat="false" ht="11.25" hidden="false" customHeight="true" outlineLevel="0" collapsed="false">
      <c r="A983" s="89"/>
      <c r="B983" s="89"/>
      <c r="C983" s="89"/>
      <c r="D983" s="150"/>
      <c r="E983" s="152"/>
      <c r="F983" s="151"/>
      <c r="G983" s="151"/>
      <c r="H983" s="151"/>
      <c r="I983" s="151"/>
      <c r="J983" s="152"/>
      <c r="K983" s="152"/>
      <c r="L983" s="152"/>
      <c r="M983" s="152"/>
      <c r="N983" s="150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</row>
    <row r="984" customFormat="false" ht="11.25" hidden="false" customHeight="true" outlineLevel="0" collapsed="false">
      <c r="A984" s="89"/>
      <c r="B984" s="89"/>
      <c r="C984" s="89"/>
      <c r="D984" s="150"/>
      <c r="E984" s="152"/>
      <c r="F984" s="151"/>
      <c r="G984" s="151"/>
      <c r="H984" s="151"/>
      <c r="I984" s="151"/>
      <c r="J984" s="152"/>
      <c r="K984" s="152"/>
      <c r="L984" s="152"/>
      <c r="M984" s="152"/>
      <c r="N984" s="150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</row>
    <row r="985" customFormat="false" ht="11.25" hidden="false" customHeight="true" outlineLevel="0" collapsed="false">
      <c r="A985" s="89"/>
      <c r="B985" s="89"/>
      <c r="C985" s="89"/>
      <c r="D985" s="150"/>
      <c r="E985" s="152"/>
      <c r="F985" s="151"/>
      <c r="G985" s="151"/>
      <c r="H985" s="151"/>
      <c r="I985" s="151"/>
      <c r="J985" s="152"/>
      <c r="K985" s="152"/>
      <c r="L985" s="152"/>
      <c r="M985" s="152"/>
      <c r="N985" s="150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</row>
    <row r="986" customFormat="false" ht="11.25" hidden="false" customHeight="true" outlineLevel="0" collapsed="false">
      <c r="A986" s="89"/>
      <c r="B986" s="89"/>
      <c r="C986" s="89"/>
      <c r="D986" s="150"/>
      <c r="E986" s="152"/>
      <c r="F986" s="151"/>
      <c r="G986" s="151"/>
      <c r="H986" s="151"/>
      <c r="I986" s="151"/>
      <c r="J986" s="152"/>
      <c r="K986" s="152"/>
      <c r="L986" s="152"/>
      <c r="M986" s="152"/>
      <c r="N986" s="150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</row>
    <row r="987" customFormat="false" ht="11.25" hidden="false" customHeight="true" outlineLevel="0" collapsed="false">
      <c r="A987" s="89"/>
      <c r="B987" s="89"/>
      <c r="C987" s="89"/>
      <c r="D987" s="150"/>
      <c r="E987" s="152"/>
      <c r="F987" s="151"/>
      <c r="G987" s="151"/>
      <c r="H987" s="151"/>
      <c r="I987" s="151"/>
      <c r="J987" s="152"/>
      <c r="K987" s="152"/>
      <c r="L987" s="152"/>
      <c r="M987" s="152"/>
      <c r="N987" s="150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</row>
    <row r="988" customFormat="false" ht="11.25" hidden="false" customHeight="true" outlineLevel="0" collapsed="false">
      <c r="A988" s="89"/>
      <c r="B988" s="89"/>
      <c r="C988" s="89"/>
      <c r="D988" s="150"/>
      <c r="E988" s="152"/>
      <c r="F988" s="151"/>
      <c r="G988" s="151"/>
      <c r="H988" s="151"/>
      <c r="I988" s="151"/>
      <c r="J988" s="152"/>
      <c r="K988" s="152"/>
      <c r="L988" s="152"/>
      <c r="M988" s="152"/>
      <c r="N988" s="150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</row>
    <row r="989" customFormat="false" ht="11.25" hidden="false" customHeight="true" outlineLevel="0" collapsed="false">
      <c r="A989" s="89"/>
      <c r="B989" s="89"/>
      <c r="C989" s="89"/>
      <c r="D989" s="150"/>
      <c r="E989" s="152"/>
      <c r="F989" s="151"/>
      <c r="G989" s="151"/>
      <c r="H989" s="151"/>
      <c r="I989" s="151"/>
      <c r="J989" s="152"/>
      <c r="K989" s="152"/>
      <c r="L989" s="152"/>
      <c r="M989" s="152"/>
      <c r="N989" s="150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</row>
    <row r="990" customFormat="false" ht="11.25" hidden="false" customHeight="true" outlineLevel="0" collapsed="false">
      <c r="A990" s="89"/>
      <c r="B990" s="89"/>
      <c r="C990" s="89"/>
      <c r="D990" s="150"/>
      <c r="E990" s="152"/>
      <c r="F990" s="151"/>
      <c r="G990" s="151"/>
      <c r="H990" s="151"/>
      <c r="I990" s="151"/>
      <c r="J990" s="152"/>
      <c r="K990" s="152"/>
      <c r="L990" s="152"/>
      <c r="M990" s="152"/>
      <c r="N990" s="150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</row>
    <row r="991" customFormat="false" ht="11.25" hidden="false" customHeight="true" outlineLevel="0" collapsed="false">
      <c r="A991" s="89"/>
      <c r="B991" s="89"/>
      <c r="C991" s="89"/>
      <c r="D991" s="150"/>
      <c r="E991" s="152"/>
      <c r="F991" s="151"/>
      <c r="G991" s="151"/>
      <c r="H991" s="151"/>
      <c r="I991" s="151"/>
      <c r="J991" s="152"/>
      <c r="K991" s="152"/>
      <c r="L991" s="152"/>
      <c r="M991" s="152"/>
      <c r="N991" s="150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</row>
    <row r="992" customFormat="false" ht="11.25" hidden="false" customHeight="true" outlineLevel="0" collapsed="false">
      <c r="A992" s="89"/>
      <c r="B992" s="89"/>
      <c r="C992" s="89"/>
      <c r="D992" s="150"/>
      <c r="E992" s="152"/>
      <c r="F992" s="151"/>
      <c r="G992" s="151"/>
      <c r="H992" s="151"/>
      <c r="I992" s="151"/>
      <c r="J992" s="152"/>
      <c r="K992" s="152"/>
      <c r="L992" s="152"/>
      <c r="M992" s="152"/>
      <c r="N992" s="150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</row>
    <row r="993" customFormat="false" ht="11.25" hidden="false" customHeight="true" outlineLevel="0" collapsed="false">
      <c r="A993" s="89"/>
      <c r="B993" s="89"/>
      <c r="C993" s="89"/>
      <c r="D993" s="150"/>
      <c r="E993" s="152"/>
      <c r="F993" s="151"/>
      <c r="G993" s="151"/>
      <c r="H993" s="151"/>
      <c r="I993" s="151"/>
      <c r="J993" s="152"/>
      <c r="K993" s="152"/>
      <c r="L993" s="152"/>
      <c r="M993" s="152"/>
      <c r="N993" s="150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</row>
    <row r="994" customFormat="false" ht="11.25" hidden="false" customHeight="true" outlineLevel="0" collapsed="false">
      <c r="A994" s="89"/>
      <c r="B994" s="89"/>
      <c r="C994" s="89"/>
      <c r="D994" s="150"/>
      <c r="E994" s="152"/>
      <c r="F994" s="151"/>
      <c r="G994" s="151"/>
      <c r="H994" s="151"/>
      <c r="I994" s="151"/>
      <c r="J994" s="152"/>
      <c r="K994" s="152"/>
      <c r="L994" s="152"/>
      <c r="M994" s="152"/>
      <c r="N994" s="150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</row>
    <row r="995" customFormat="false" ht="11.25" hidden="false" customHeight="true" outlineLevel="0" collapsed="false">
      <c r="A995" s="89"/>
      <c r="B995" s="89"/>
      <c r="C995" s="89"/>
      <c r="D995" s="150"/>
      <c r="E995" s="152"/>
      <c r="F995" s="151"/>
      <c r="G995" s="151"/>
      <c r="H995" s="151"/>
      <c r="I995" s="151"/>
      <c r="J995" s="152"/>
      <c r="K995" s="152"/>
      <c r="L995" s="152"/>
      <c r="M995" s="152"/>
      <c r="N995" s="150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</row>
    <row r="996" customFormat="false" ht="11.25" hidden="false" customHeight="true" outlineLevel="0" collapsed="false">
      <c r="A996" s="89"/>
      <c r="B996" s="89"/>
      <c r="C996" s="89"/>
      <c r="D996" s="150"/>
      <c r="E996" s="152"/>
      <c r="F996" s="151"/>
      <c r="G996" s="151"/>
      <c r="H996" s="151"/>
      <c r="I996" s="151"/>
      <c r="J996" s="152"/>
      <c r="K996" s="152"/>
      <c r="L996" s="152"/>
      <c r="M996" s="152"/>
      <c r="N996" s="150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</row>
    <row r="997" customFormat="false" ht="11.25" hidden="false" customHeight="true" outlineLevel="0" collapsed="false">
      <c r="A997" s="89"/>
      <c r="B997" s="89"/>
      <c r="C997" s="89"/>
      <c r="D997" s="150"/>
      <c r="E997" s="152"/>
      <c r="F997" s="151"/>
      <c r="G997" s="151"/>
      <c r="H997" s="151"/>
      <c r="I997" s="151"/>
      <c r="J997" s="152"/>
      <c r="K997" s="152"/>
      <c r="L997" s="152"/>
      <c r="M997" s="152"/>
      <c r="N997" s="150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</row>
    <row r="998" customFormat="false" ht="11.25" hidden="false" customHeight="true" outlineLevel="0" collapsed="false">
      <c r="A998" s="89"/>
      <c r="B998" s="89"/>
      <c r="C998" s="89"/>
      <c r="D998" s="150"/>
      <c r="E998" s="152"/>
      <c r="F998" s="151"/>
      <c r="G998" s="151"/>
      <c r="H998" s="151"/>
      <c r="I998" s="151"/>
      <c r="J998" s="152"/>
      <c r="K998" s="152"/>
      <c r="L998" s="152"/>
      <c r="M998" s="152"/>
      <c r="N998" s="150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</row>
    <row r="999" customFormat="false" ht="11.25" hidden="false" customHeight="true" outlineLevel="0" collapsed="false">
      <c r="A999" s="89"/>
      <c r="B999" s="89"/>
      <c r="C999" s="89"/>
      <c r="D999" s="150"/>
      <c r="E999" s="152"/>
      <c r="F999" s="151"/>
      <c r="G999" s="151"/>
      <c r="H999" s="151"/>
      <c r="I999" s="151"/>
      <c r="J999" s="152"/>
      <c r="K999" s="152"/>
      <c r="L999" s="152"/>
      <c r="M999" s="152"/>
      <c r="N999" s="150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</row>
    <row r="1000" customFormat="false" ht="11.25" hidden="false" customHeight="true" outlineLevel="0" collapsed="false">
      <c r="A1000" s="89"/>
      <c r="B1000" s="89"/>
      <c r="C1000" s="89"/>
      <c r="D1000" s="150"/>
      <c r="E1000" s="152"/>
      <c r="F1000" s="151"/>
      <c r="G1000" s="151"/>
      <c r="H1000" s="151"/>
      <c r="I1000" s="151"/>
      <c r="J1000" s="152"/>
      <c r="K1000" s="152"/>
      <c r="L1000" s="152"/>
      <c r="M1000" s="152"/>
      <c r="N1000" s="150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</row>
  </sheetData>
  <mergeCells count="9">
    <mergeCell ref="A1:N1"/>
    <mergeCell ref="A2:A3"/>
    <mergeCell ref="B2:B3"/>
    <mergeCell ref="C2:C3"/>
    <mergeCell ref="D2:D3"/>
    <mergeCell ref="E2:E3"/>
    <mergeCell ref="F2:I2"/>
    <mergeCell ref="J2:M2"/>
    <mergeCell ref="N2:N3"/>
  </mergeCells>
  <dataValidations count="4">
    <dataValidation allowBlank="true" operator="between" showDropDown="false" showErrorMessage="true" showInputMessage="false" sqref="J4:M105" type="list">
      <formula1>Parametros!$I$2:$I$5</formula1>
      <formula2>0</formula2>
    </dataValidation>
    <dataValidation allowBlank="true" operator="between" showDropDown="false" showErrorMessage="true" showInputMessage="false" sqref="A4:A105" type="list">
      <formula1>'PDU 2020-2023'!$C$4:$C$105</formula1>
      <formula2>0</formula2>
    </dataValidation>
    <dataValidation allowBlank="true" operator="between" showDropDown="true" showErrorMessage="true" showInputMessage="false" sqref="B4:B105" type="decimal">
      <formula1>1</formula1>
      <formula2>20</formula2>
    </dataValidation>
    <dataValidation allowBlank="true" operator="between" showDropDown="false" showErrorMessage="true" showInputMessage="false" sqref="E4:E105" type="list">
      <formula1>Parametros!$F$2:$F$3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K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4.63"/>
    <col collapsed="false" customWidth="true" hidden="false" outlineLevel="0" max="3" min="3" style="0" width="2.38"/>
    <col collapsed="false" customWidth="true" hidden="false" outlineLevel="0" max="4" min="4" style="0" width="28.38"/>
    <col collapsed="false" customWidth="true" hidden="false" outlineLevel="0" max="5" min="5" style="0" width="45.5"/>
    <col collapsed="false" customWidth="true" hidden="false" outlineLevel="0" max="7" min="6" style="0" width="9"/>
    <col collapsed="false" customWidth="true" hidden="false" outlineLevel="0" max="8" min="8" style="0" width="9.63"/>
    <col collapsed="false" customWidth="true" hidden="false" outlineLevel="0" max="9" min="9" style="0" width="11.13"/>
    <col collapsed="false" customWidth="true" hidden="false" outlineLevel="0" max="10" min="10" style="0" width="8.63"/>
    <col collapsed="false" customWidth="true" hidden="false" outlineLevel="0" max="11" min="11" style="0" width="3.5"/>
    <col collapsed="false" customWidth="true" hidden="false" outlineLevel="0" max="17" min="12" style="0" width="2.62"/>
    <col collapsed="false" customWidth="true" hidden="false" outlineLevel="0" max="18" min="18" style="0" width="3"/>
    <col collapsed="false" customWidth="true" hidden="false" outlineLevel="0" max="115" min="19" style="0" width="2.62"/>
  </cols>
  <sheetData>
    <row r="1" customFormat="false" ht="11.25" hidden="false" customHeight="true" outlineLevel="0" collapsed="false">
      <c r="A1" s="54" t="n">
        <v>1</v>
      </c>
      <c r="B1" s="54" t="s">
        <v>187</v>
      </c>
      <c r="C1" s="54"/>
      <c r="D1" s="54" t="s">
        <v>188</v>
      </c>
      <c r="E1" s="54"/>
      <c r="F1" s="54" t="s">
        <v>189</v>
      </c>
      <c r="G1" s="54"/>
      <c r="H1" s="54" t="s">
        <v>190</v>
      </c>
      <c r="I1" s="54"/>
      <c r="J1" s="54"/>
      <c r="K1" s="185" t="s">
        <v>36</v>
      </c>
      <c r="L1" s="186" t="s">
        <v>0</v>
      </c>
      <c r="M1" s="186" t="s">
        <v>10</v>
      </c>
      <c r="N1" s="187"/>
      <c r="O1" s="186" t="s">
        <v>18</v>
      </c>
      <c r="P1" s="186"/>
      <c r="Q1" s="188"/>
      <c r="R1" s="187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</row>
    <row r="2" customFormat="false" ht="11.25" hidden="false" customHeight="true" outlineLevel="0" collapsed="false">
      <c r="A2" s="54" t="n">
        <v>2</v>
      </c>
      <c r="B2" s="54" t="s">
        <v>191</v>
      </c>
      <c r="C2" s="54" t="n">
        <v>1</v>
      </c>
      <c r="D2" s="54" t="s">
        <v>192</v>
      </c>
      <c r="E2" s="54" t="str">
        <f aca="false">CONCATENATE(C2,". ",D2)</f>
        <v>1. Não iniciado</v>
      </c>
      <c r="F2" s="54" t="s">
        <v>193</v>
      </c>
      <c r="G2" s="54" t="n">
        <v>1</v>
      </c>
      <c r="H2" s="54" t="s">
        <v>194</v>
      </c>
      <c r="I2" s="54" t="str">
        <f aca="false">CONCATENATE(G2,". ",H2)</f>
        <v>1. Sem previsão</v>
      </c>
      <c r="J2" s="54"/>
      <c r="K2" s="185" t="s">
        <v>195</v>
      </c>
      <c r="L2" s="185"/>
      <c r="M2" s="189"/>
      <c r="N2" s="188"/>
      <c r="O2" s="185" t="s">
        <v>36</v>
      </c>
      <c r="P2" s="186"/>
      <c r="Q2" s="185"/>
      <c r="R2" s="190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88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</row>
    <row r="3" customFormat="false" ht="11.25" hidden="false" customHeight="true" outlineLevel="0" collapsed="false">
      <c r="A3" s="54" t="n">
        <v>3</v>
      </c>
      <c r="B3" s="54" t="s">
        <v>196</v>
      </c>
      <c r="C3" s="54" t="n">
        <v>2</v>
      </c>
      <c r="D3" s="54" t="s">
        <v>197</v>
      </c>
      <c r="E3" s="54" t="str">
        <f aca="false">CONCATENATE(C3,". ",D3)</f>
        <v>2. Atingimos menos da metade desta meta</v>
      </c>
      <c r="F3" s="54" t="s">
        <v>54</v>
      </c>
      <c r="G3" s="54" t="n">
        <v>2</v>
      </c>
      <c r="H3" s="54" t="s">
        <v>198</v>
      </c>
      <c r="I3" s="54" t="str">
        <f aca="false">CONCATENATE(G3,". ",H3)</f>
        <v>2. Não iniciada</v>
      </c>
      <c r="J3" s="54"/>
      <c r="K3" s="185" t="s">
        <v>199</v>
      </c>
      <c r="L3" s="185"/>
      <c r="M3" s="189"/>
      <c r="N3" s="188"/>
      <c r="O3" s="185" t="s">
        <v>195</v>
      </c>
      <c r="P3" s="189"/>
      <c r="Q3" s="185"/>
      <c r="R3" s="190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88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</row>
    <row r="4" customFormat="false" ht="11.25" hidden="false" customHeight="true" outlineLevel="0" collapsed="false">
      <c r="A4" s="54"/>
      <c r="B4" s="54"/>
      <c r="C4" s="54" t="n">
        <v>3</v>
      </c>
      <c r="D4" s="54" t="s">
        <v>200</v>
      </c>
      <c r="E4" s="54" t="str">
        <f aca="false">CONCATENATE(C4,". ",D4)</f>
        <v>3. Atingimos a metade desta meta</v>
      </c>
      <c r="F4" s="54"/>
      <c r="G4" s="54" t="n">
        <v>3</v>
      </c>
      <c r="H4" s="54" t="s">
        <v>191</v>
      </c>
      <c r="I4" s="54" t="str">
        <f aca="false">CONCATENATE(G4,". ",H4)</f>
        <v>3. Em andamento</v>
      </c>
      <c r="J4" s="54"/>
      <c r="K4" s="185" t="s">
        <v>201</v>
      </c>
      <c r="L4" s="185"/>
      <c r="M4" s="189"/>
      <c r="N4" s="188"/>
      <c r="O4" s="185" t="s">
        <v>199</v>
      </c>
      <c r="P4" s="189"/>
      <c r="Q4" s="185"/>
      <c r="R4" s="190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88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</row>
    <row r="5" customFormat="false" ht="11.25" hidden="false" customHeight="true" outlineLevel="0" collapsed="false">
      <c r="A5" s="54"/>
      <c r="B5" s="54"/>
      <c r="C5" s="54" t="n">
        <v>4</v>
      </c>
      <c r="D5" s="54" t="s">
        <v>202</v>
      </c>
      <c r="E5" s="54" t="str">
        <f aca="false">CONCATENATE(C5,". ",D5)</f>
        <v>4. Atingimos mais da metade desta meta</v>
      </c>
      <c r="F5" s="54"/>
      <c r="G5" s="54" t="n">
        <v>4</v>
      </c>
      <c r="H5" s="54" t="s">
        <v>203</v>
      </c>
      <c r="I5" s="54" t="str">
        <f aca="false">CONCATENATE(G5,". ",H5)</f>
        <v>4. Concluído</v>
      </c>
      <c r="J5" s="54"/>
      <c r="K5" s="185" t="s">
        <v>204</v>
      </c>
      <c r="L5" s="185"/>
      <c r="M5" s="189"/>
      <c r="N5" s="188"/>
      <c r="O5" s="185" t="s">
        <v>201</v>
      </c>
      <c r="P5" s="189"/>
      <c r="Q5" s="185"/>
      <c r="R5" s="190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88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</row>
    <row r="6" customFormat="false" ht="11.25" hidden="false" customHeight="true" outlineLevel="0" collapsed="false">
      <c r="A6" s="54"/>
      <c r="B6" s="54"/>
      <c r="C6" s="54" t="n">
        <v>5</v>
      </c>
      <c r="D6" s="54" t="s">
        <v>205</v>
      </c>
      <c r="E6" s="54" t="str">
        <f aca="false">CONCATENATE(C6,". ",D6)</f>
        <v>5. Atingimos a totalidade desta meta</v>
      </c>
      <c r="F6" s="54"/>
      <c r="G6" s="54"/>
      <c r="H6" s="54"/>
      <c r="I6" s="54"/>
      <c r="J6" s="54"/>
      <c r="K6" s="185" t="s">
        <v>23</v>
      </c>
      <c r="L6" s="185"/>
      <c r="M6" s="189"/>
      <c r="N6" s="188"/>
      <c r="O6" s="185" t="s">
        <v>204</v>
      </c>
      <c r="P6" s="189"/>
      <c r="Q6" s="185"/>
      <c r="R6" s="190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88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</row>
    <row r="7" customFormat="false" ht="11.25" hidden="false" customHeight="true" outlineLevel="0" collapsed="false">
      <c r="A7" s="54"/>
      <c r="B7" s="54"/>
      <c r="C7" s="54"/>
      <c r="D7" s="54"/>
      <c r="E7" s="54"/>
      <c r="F7" s="54"/>
      <c r="G7" s="54"/>
      <c r="H7" s="54"/>
      <c r="I7" s="54"/>
      <c r="J7" s="54"/>
      <c r="K7" s="185" t="s">
        <v>25</v>
      </c>
      <c r="L7" s="185"/>
      <c r="M7" s="189"/>
      <c r="N7" s="188"/>
      <c r="O7" s="185" t="s">
        <v>23</v>
      </c>
      <c r="P7" s="189"/>
      <c r="Q7" s="185"/>
      <c r="R7" s="190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88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</row>
    <row r="8" customFormat="false" ht="11.25" hidden="false" customHeight="true" outlineLevel="0" collapsed="false">
      <c r="A8" s="54"/>
      <c r="B8" s="54"/>
      <c r="C8" s="54"/>
      <c r="D8" s="54"/>
      <c r="E8" s="54"/>
      <c r="F8" s="54"/>
      <c r="G8" s="54"/>
      <c r="H8" s="54"/>
      <c r="I8" s="54"/>
      <c r="J8" s="54"/>
      <c r="K8" s="189" t="s">
        <v>206</v>
      </c>
      <c r="L8" s="185"/>
      <c r="M8" s="189"/>
      <c r="N8" s="188"/>
      <c r="O8" s="185" t="s">
        <v>25</v>
      </c>
      <c r="P8" s="189"/>
      <c r="Q8" s="185"/>
      <c r="R8" s="190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88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</row>
    <row r="9" customFormat="false" ht="11.25" hidden="false" customHeight="true" outlineLevel="0" collapsed="false">
      <c r="A9" s="54"/>
      <c r="B9" s="54"/>
      <c r="C9" s="54"/>
      <c r="D9" s="54"/>
      <c r="E9" s="54"/>
      <c r="F9" s="54"/>
      <c r="G9" s="54"/>
      <c r="H9" s="54"/>
      <c r="I9" s="54"/>
      <c r="J9" s="54"/>
      <c r="K9" s="189" t="s">
        <v>207</v>
      </c>
      <c r="L9" s="185"/>
      <c r="M9" s="189"/>
      <c r="N9" s="188"/>
      <c r="O9" s="189" t="s">
        <v>206</v>
      </c>
      <c r="P9" s="189"/>
      <c r="Q9" s="185"/>
      <c r="R9" s="190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88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</row>
    <row r="10" customFormat="false" ht="11.25" hidden="false" customHeight="true" outlineLevel="0" collapsed="false">
      <c r="C10" s="192" t="n">
        <v>1</v>
      </c>
      <c r="D10" s="192" t="s">
        <v>208</v>
      </c>
      <c r="E10" s="54" t="str">
        <f aca="false">CONCATENATE(C10,". ",D10)</f>
        <v>1. Responsável</v>
      </c>
      <c r="F10" s="54"/>
      <c r="G10" s="54"/>
      <c r="H10" s="54"/>
      <c r="I10" s="54"/>
      <c r="J10" s="54"/>
      <c r="K10" s="189" t="s">
        <v>209</v>
      </c>
      <c r="L10" s="185"/>
      <c r="M10" s="189"/>
      <c r="N10" s="188"/>
      <c r="O10" s="189" t="s">
        <v>207</v>
      </c>
      <c r="P10" s="189"/>
      <c r="Q10" s="185"/>
      <c r="R10" s="190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88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</row>
    <row r="11" customFormat="false" ht="11.25" hidden="false" customHeight="true" outlineLevel="0" collapsed="false">
      <c r="C11" s="192" t="n">
        <v>2</v>
      </c>
      <c r="D11" s="192" t="s">
        <v>210</v>
      </c>
      <c r="E11" s="54" t="str">
        <f aca="false">CONCATENATE(C11,". ",D11)</f>
        <v>2. Corresponsável</v>
      </c>
      <c r="F11" s="54"/>
      <c r="G11" s="54"/>
      <c r="H11" s="54"/>
      <c r="I11" s="54"/>
      <c r="J11" s="54"/>
      <c r="K11" s="189" t="s">
        <v>211</v>
      </c>
      <c r="L11" s="185"/>
      <c r="M11" s="189"/>
      <c r="N11" s="188"/>
      <c r="O11" s="189" t="s">
        <v>209</v>
      </c>
      <c r="P11" s="189"/>
      <c r="Q11" s="185"/>
      <c r="R11" s="190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88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</row>
    <row r="12" customFormat="false" ht="11.25" hidden="false" customHeight="true" outlineLevel="0" collapsed="false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189" t="s">
        <v>212</v>
      </c>
      <c r="L12" s="185"/>
      <c r="M12" s="189"/>
      <c r="N12" s="188"/>
      <c r="O12" s="189" t="s">
        <v>211</v>
      </c>
      <c r="P12" s="189"/>
      <c r="Q12" s="185"/>
      <c r="R12" s="190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88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</row>
    <row r="13" customFormat="false" ht="11.25" hidden="false" customHeight="true" outlineLevel="0" collapsed="false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189" t="s">
        <v>213</v>
      </c>
      <c r="L13" s="185"/>
      <c r="M13" s="189"/>
      <c r="N13" s="188"/>
      <c r="O13" s="189" t="s">
        <v>212</v>
      </c>
      <c r="P13" s="189"/>
      <c r="Q13" s="185"/>
      <c r="R13" s="190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88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</row>
    <row r="14" customFormat="false" ht="11.25" hidden="false" customHeight="true" outlineLevel="0" collapsed="false">
      <c r="A14" s="54"/>
      <c r="B14" s="54"/>
      <c r="C14" s="193" t="s">
        <v>214</v>
      </c>
      <c r="D14" s="54"/>
      <c r="E14" s="54"/>
      <c r="F14" s="54"/>
      <c r="G14" s="54"/>
      <c r="H14" s="54"/>
      <c r="I14" s="54"/>
      <c r="J14" s="54"/>
      <c r="K14" s="189" t="s">
        <v>215</v>
      </c>
      <c r="L14" s="185"/>
      <c r="M14" s="189"/>
      <c r="N14" s="188"/>
      <c r="O14" s="189" t="s">
        <v>213</v>
      </c>
      <c r="P14" s="189"/>
      <c r="Q14" s="185"/>
      <c r="R14" s="190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88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</row>
    <row r="15" customFormat="false" ht="11.25" hidden="false" customHeight="true" outlineLevel="0" collapsed="false">
      <c r="A15" s="54"/>
      <c r="B15" s="54"/>
      <c r="C15" s="54"/>
      <c r="D15" s="54"/>
      <c r="E15" s="54"/>
      <c r="F15" s="54" t="str">
        <f aca="false">CONCATENATE(D15,". ",E15)</f>
        <v>. </v>
      </c>
      <c r="G15" s="54"/>
      <c r="H15" s="54"/>
      <c r="I15" s="54"/>
      <c r="J15" s="54"/>
      <c r="K15" s="189" t="s">
        <v>216</v>
      </c>
      <c r="L15" s="185"/>
      <c r="M15" s="189"/>
      <c r="N15" s="188"/>
      <c r="O15" s="189" t="s">
        <v>215</v>
      </c>
      <c r="P15" s="189"/>
      <c r="Q15" s="185"/>
      <c r="R15" s="190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88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</row>
    <row r="16" customFormat="false" ht="11.25" hidden="false" customHeight="true" outlineLevel="0" collapsed="false">
      <c r="A16" s="54"/>
      <c r="B16" s="54"/>
      <c r="C16" s="54"/>
      <c r="D16" s="54"/>
      <c r="E16" s="54"/>
      <c r="F16" s="54" t="str">
        <f aca="false">CONCATENATE(D16,". ",E16)</f>
        <v>. </v>
      </c>
      <c r="G16" s="54"/>
      <c r="H16" s="54"/>
      <c r="I16" s="54"/>
      <c r="J16" s="54"/>
      <c r="K16" s="189" t="s">
        <v>217</v>
      </c>
      <c r="L16" s="185"/>
      <c r="M16" s="189"/>
      <c r="N16" s="188"/>
      <c r="O16" s="189" t="s">
        <v>216</v>
      </c>
      <c r="P16" s="189"/>
      <c r="Q16" s="185"/>
      <c r="R16" s="190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88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</row>
    <row r="17" customFormat="false" ht="11.25" hidden="false" customHeight="true" outlineLevel="0" collapsed="false">
      <c r="A17" s="54"/>
      <c r="B17" s="54"/>
      <c r="C17" s="54"/>
      <c r="D17" s="54"/>
      <c r="E17" s="54"/>
      <c r="F17" s="54" t="str">
        <f aca="false">CONCATENATE(D17,". ",E17)</f>
        <v>. </v>
      </c>
      <c r="G17" s="54"/>
      <c r="H17" s="54"/>
      <c r="I17" s="54"/>
      <c r="J17" s="54"/>
      <c r="K17" s="189" t="s">
        <v>218</v>
      </c>
      <c r="L17" s="185"/>
      <c r="M17" s="189"/>
      <c r="N17" s="188"/>
      <c r="O17" s="189" t="s">
        <v>217</v>
      </c>
      <c r="P17" s="189"/>
      <c r="Q17" s="185"/>
      <c r="R17" s="190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88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</row>
    <row r="18" customFormat="false" ht="11.25" hidden="false" customHeight="true" outlineLevel="0" collapsed="false">
      <c r="A18" s="54"/>
      <c r="B18" s="54"/>
      <c r="C18" s="54"/>
      <c r="D18" s="54"/>
      <c r="E18" s="54"/>
      <c r="F18" s="54" t="str">
        <f aca="false">CONCATENATE(D18,". ",E18)</f>
        <v>. </v>
      </c>
      <c r="G18" s="54"/>
      <c r="H18" s="54"/>
      <c r="I18" s="54"/>
      <c r="J18" s="54"/>
      <c r="K18" s="189" t="s">
        <v>219</v>
      </c>
      <c r="L18" s="185"/>
      <c r="M18" s="189"/>
      <c r="N18" s="188"/>
      <c r="O18" s="189" t="s">
        <v>218</v>
      </c>
      <c r="P18" s="189"/>
      <c r="Q18" s="185"/>
      <c r="R18" s="190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88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</row>
    <row r="19" customFormat="false" ht="11.25" hidden="false" customHeight="true" outlineLevel="0" collapsed="false">
      <c r="A19" s="54"/>
      <c r="B19" s="54"/>
      <c r="C19" s="54"/>
      <c r="D19" s="54"/>
      <c r="E19" s="54"/>
      <c r="F19" s="54" t="str">
        <f aca="false">CONCATENATE(D19,". ",E19)</f>
        <v>. </v>
      </c>
      <c r="G19" s="54"/>
      <c r="H19" s="54"/>
      <c r="I19" s="54"/>
      <c r="J19" s="54"/>
      <c r="K19" s="185" t="s">
        <v>220</v>
      </c>
      <c r="L19" s="185"/>
      <c r="M19" s="189"/>
      <c r="N19" s="188"/>
      <c r="O19" s="189" t="s">
        <v>219</v>
      </c>
      <c r="P19" s="189"/>
      <c r="Q19" s="185"/>
      <c r="R19" s="190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88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</row>
    <row r="20" customFormat="false" ht="11.25" hidden="false" customHeight="true" outlineLevel="0" collapsed="false">
      <c r="A20" s="54"/>
      <c r="B20" s="54"/>
      <c r="C20" s="54"/>
      <c r="D20" s="54"/>
      <c r="E20" s="54"/>
      <c r="F20" s="54" t="str">
        <f aca="false">CONCATENATE(D20,". ",E20)</f>
        <v>. </v>
      </c>
      <c r="G20" s="54"/>
      <c r="H20" s="54"/>
      <c r="I20" s="54"/>
      <c r="J20" s="54"/>
      <c r="K20" s="185" t="s">
        <v>221</v>
      </c>
      <c r="L20" s="185"/>
      <c r="M20" s="189"/>
      <c r="N20" s="188"/>
      <c r="O20" s="185" t="s">
        <v>220</v>
      </c>
      <c r="P20" s="189"/>
      <c r="Q20" s="185"/>
      <c r="R20" s="190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88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</row>
    <row r="21" customFormat="false" ht="11.25" hidden="false" customHeight="true" outlineLevel="0" collapsed="false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185" t="s">
        <v>222</v>
      </c>
      <c r="L21" s="185"/>
      <c r="M21" s="189"/>
      <c r="N21" s="188"/>
      <c r="O21" s="185" t="s">
        <v>221</v>
      </c>
      <c r="P21" s="189"/>
      <c r="Q21" s="185"/>
      <c r="R21" s="190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88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</row>
    <row r="22" customFormat="false" ht="11.25" hidden="false" customHeight="true" outlineLevel="0" collapsed="false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185" t="s">
        <v>223</v>
      </c>
      <c r="L22" s="185"/>
      <c r="M22" s="189"/>
      <c r="N22" s="188"/>
      <c r="O22" s="185" t="s">
        <v>222</v>
      </c>
      <c r="P22" s="189"/>
      <c r="Q22" s="185"/>
      <c r="R22" s="190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88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</row>
    <row r="23" customFormat="false" ht="11.25" hidden="false" customHeight="true" outlineLevel="0" collapsed="false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189" t="s">
        <v>224</v>
      </c>
      <c r="L23" s="185"/>
      <c r="M23" s="189"/>
      <c r="N23" s="188"/>
      <c r="O23" s="185" t="s">
        <v>223</v>
      </c>
      <c r="P23" s="189"/>
      <c r="Q23" s="185"/>
      <c r="R23" s="190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88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</row>
    <row r="24" customFormat="false" ht="11.25" hidden="false" customHeight="true" outlineLevel="0" collapsed="false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189" t="s">
        <v>225</v>
      </c>
      <c r="L24" s="185"/>
      <c r="M24" s="189"/>
      <c r="N24" s="188"/>
      <c r="O24" s="189" t="s">
        <v>224</v>
      </c>
      <c r="P24" s="189"/>
      <c r="Q24" s="185"/>
      <c r="R24" s="190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88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</row>
    <row r="25" customFormat="false" ht="11.25" hidden="false" customHeight="true" outlineLevel="0" collapsed="false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189" t="s">
        <v>226</v>
      </c>
      <c r="L25" s="185"/>
      <c r="M25" s="189"/>
      <c r="N25" s="188"/>
      <c r="O25" s="189" t="s">
        <v>225</v>
      </c>
      <c r="P25" s="189"/>
      <c r="Q25" s="185"/>
      <c r="R25" s="190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88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</row>
    <row r="26" customFormat="false" ht="11.25" hidden="false" customHeight="true" outlineLevel="0" collapsed="false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189" t="s">
        <v>227</v>
      </c>
      <c r="L26" s="185"/>
      <c r="M26" s="189"/>
      <c r="N26" s="188"/>
      <c r="O26" s="189" t="s">
        <v>226</v>
      </c>
      <c r="P26" s="189"/>
      <c r="Q26" s="185"/>
      <c r="R26" s="190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88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</row>
    <row r="27" customFormat="false" ht="11.25" hidden="false" customHeight="true" outlineLevel="0" collapsed="false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189" t="s">
        <v>228</v>
      </c>
      <c r="L27" s="185"/>
      <c r="M27" s="189"/>
      <c r="N27" s="188"/>
      <c r="O27" s="189" t="s">
        <v>227</v>
      </c>
      <c r="P27" s="189"/>
      <c r="Q27" s="185"/>
      <c r="R27" s="185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88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</row>
    <row r="28" customFormat="false" ht="11.25" hidden="false" customHeight="true" outlineLevel="0" collapsed="false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189" t="s">
        <v>229</v>
      </c>
      <c r="L28" s="185"/>
      <c r="M28" s="189"/>
      <c r="N28" s="188"/>
      <c r="O28" s="189" t="s">
        <v>228</v>
      </c>
      <c r="P28" s="189"/>
      <c r="Q28" s="185"/>
      <c r="R28" s="190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88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</row>
    <row r="29" customFormat="false" ht="11.25" hidden="false" customHeight="true" outlineLevel="0" collapsed="false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189" t="s">
        <v>230</v>
      </c>
      <c r="L29" s="185"/>
      <c r="M29" s="189"/>
      <c r="N29" s="188"/>
      <c r="O29" s="189" t="s">
        <v>229</v>
      </c>
      <c r="P29" s="189"/>
      <c r="Q29" s="185"/>
      <c r="R29" s="190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88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</row>
    <row r="30" customFormat="false" ht="11.25" hidden="false" customHeight="true" outlineLevel="0" collapsed="false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189" t="s">
        <v>231</v>
      </c>
      <c r="L30" s="185"/>
      <c r="M30" s="189"/>
      <c r="N30" s="188"/>
      <c r="O30" s="189" t="s">
        <v>230</v>
      </c>
      <c r="P30" s="189"/>
      <c r="Q30" s="185"/>
      <c r="R30" s="190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88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</row>
    <row r="31" customFormat="false" ht="11.25" hidden="false" customHeight="true" outlineLevel="0" collapsed="false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189" t="s">
        <v>232</v>
      </c>
      <c r="L31" s="185"/>
      <c r="M31" s="189"/>
      <c r="N31" s="188"/>
      <c r="O31" s="189" t="s">
        <v>231</v>
      </c>
      <c r="P31" s="189"/>
      <c r="Q31" s="185"/>
      <c r="R31" s="190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88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</row>
    <row r="32" customFormat="false" ht="11.25" hidden="false" customHeight="true" outlineLevel="0" collapsed="false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189" t="s">
        <v>233</v>
      </c>
      <c r="L32" s="185"/>
      <c r="M32" s="189"/>
      <c r="N32" s="188"/>
      <c r="O32" s="189" t="s">
        <v>232</v>
      </c>
      <c r="P32" s="189"/>
      <c r="Q32" s="185"/>
      <c r="R32" s="190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88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</row>
    <row r="33" customFormat="false" ht="11.25" hidden="false" customHeight="true" outlineLevel="0" collapsed="false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189" t="s">
        <v>234</v>
      </c>
      <c r="L33" s="185"/>
      <c r="M33" s="189"/>
      <c r="N33" s="188"/>
      <c r="O33" s="189" t="s">
        <v>233</v>
      </c>
      <c r="P33" s="189"/>
      <c r="Q33" s="185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88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</row>
    <row r="34" customFormat="false" ht="11.25" hidden="false" customHeight="true" outlineLevel="0" collapsed="false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189" t="s">
        <v>235</v>
      </c>
      <c r="L34" s="185"/>
      <c r="M34" s="189"/>
      <c r="N34" s="188"/>
      <c r="O34" s="189" t="s">
        <v>234</v>
      </c>
      <c r="P34" s="189"/>
      <c r="Q34" s="185"/>
      <c r="R34" s="190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88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</row>
    <row r="35" customFormat="false" ht="11.25" hidden="false" customHeight="true" outlineLevel="0" collapsed="false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189" t="s">
        <v>236</v>
      </c>
      <c r="L35" s="185"/>
      <c r="M35" s="189"/>
      <c r="N35" s="188"/>
      <c r="O35" s="189" t="s">
        <v>235</v>
      </c>
      <c r="P35" s="189"/>
      <c r="Q35" s="185"/>
      <c r="R35" s="190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88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</row>
    <row r="36" customFormat="false" ht="11.25" hidden="false" customHeight="true" outlineLevel="0" collapsed="false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189" t="s">
        <v>237</v>
      </c>
      <c r="L36" s="185"/>
      <c r="M36" s="189"/>
      <c r="N36" s="188"/>
      <c r="O36" s="189" t="s">
        <v>236</v>
      </c>
      <c r="P36" s="189"/>
      <c r="Q36" s="185"/>
      <c r="R36" s="190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88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</row>
    <row r="37" customFormat="false" ht="11.25" hidden="false" customHeight="true" outlineLevel="0" collapsed="false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189" t="s">
        <v>238</v>
      </c>
      <c r="L37" s="185"/>
      <c r="M37" s="189"/>
      <c r="N37" s="188"/>
      <c r="O37" s="189" t="s">
        <v>237</v>
      </c>
      <c r="P37" s="189"/>
      <c r="Q37" s="185"/>
      <c r="R37" s="190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88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</row>
    <row r="38" customFormat="false" ht="11.25" hidden="false" customHeight="true" outlineLevel="0" collapsed="false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189" t="s">
        <v>239</v>
      </c>
      <c r="L38" s="185"/>
      <c r="M38" s="189"/>
      <c r="N38" s="188"/>
      <c r="O38" s="189" t="s">
        <v>238</v>
      </c>
      <c r="P38" s="189"/>
      <c r="Q38" s="185"/>
      <c r="R38" s="190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88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</row>
    <row r="39" customFormat="false" ht="11.25" hidden="false" customHeight="true" outlineLevel="0" collapsed="false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189" t="s">
        <v>240</v>
      </c>
      <c r="L39" s="185"/>
      <c r="M39" s="189"/>
      <c r="N39" s="188"/>
      <c r="O39" s="189" t="s">
        <v>239</v>
      </c>
      <c r="P39" s="189"/>
      <c r="Q39" s="185"/>
      <c r="R39" s="190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88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</row>
    <row r="40" customFormat="false" ht="11.25" hidden="false" customHeight="true" outlineLevel="0" collapsed="false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189" t="s">
        <v>241</v>
      </c>
      <c r="L40" s="185"/>
      <c r="M40" s="189"/>
      <c r="N40" s="188"/>
      <c r="O40" s="189" t="s">
        <v>240</v>
      </c>
      <c r="P40" s="189"/>
      <c r="Q40" s="185"/>
      <c r="R40" s="190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88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</row>
    <row r="41" customFormat="false" ht="11.25" hidden="false" customHeight="true" outlineLevel="0" collapsed="false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189" t="s">
        <v>242</v>
      </c>
      <c r="L41" s="185"/>
      <c r="M41" s="189"/>
      <c r="N41" s="188"/>
      <c r="O41" s="189" t="s">
        <v>241</v>
      </c>
      <c r="P41" s="189"/>
      <c r="Q41" s="185"/>
      <c r="R41" s="190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88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</row>
    <row r="42" customFormat="false" ht="11.25" hidden="false" customHeight="true" outlineLevel="0" collapsed="false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189" t="s">
        <v>243</v>
      </c>
      <c r="L42" s="185"/>
      <c r="M42" s="189"/>
      <c r="N42" s="188"/>
      <c r="O42" s="189" t="s">
        <v>242</v>
      </c>
      <c r="P42" s="189"/>
      <c r="Q42" s="185"/>
      <c r="R42" s="190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88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</row>
    <row r="43" customFormat="false" ht="11.25" hidden="false" customHeight="true" outlineLevel="0" collapsed="false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189" t="s">
        <v>244</v>
      </c>
      <c r="L43" s="185"/>
      <c r="M43" s="189"/>
      <c r="N43" s="188"/>
      <c r="O43" s="189" t="s">
        <v>243</v>
      </c>
      <c r="P43" s="189"/>
      <c r="Q43" s="185"/>
      <c r="R43" s="190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88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</row>
    <row r="44" customFormat="false" ht="11.25" hidden="false" customHeight="true" outlineLevel="0" collapsed="false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189" t="s">
        <v>245</v>
      </c>
      <c r="L44" s="185"/>
      <c r="M44" s="189"/>
      <c r="N44" s="188"/>
      <c r="O44" s="189" t="s">
        <v>244</v>
      </c>
      <c r="P44" s="189"/>
      <c r="Q44" s="185"/>
      <c r="R44" s="190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88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</row>
    <row r="45" customFormat="false" ht="11.25" hidden="false" customHeight="true" outlineLevel="0" collapsed="false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189" t="s">
        <v>246</v>
      </c>
      <c r="L45" s="185"/>
      <c r="M45" s="189"/>
      <c r="N45" s="188"/>
      <c r="O45" s="189" t="s">
        <v>245</v>
      </c>
      <c r="P45" s="189"/>
      <c r="Q45" s="185"/>
      <c r="R45" s="190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88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</row>
    <row r="46" customFormat="false" ht="11.25" hidden="false" customHeight="true" outlineLevel="0" collapsed="false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189" t="s">
        <v>247</v>
      </c>
      <c r="L46" s="185"/>
      <c r="M46" s="189"/>
      <c r="N46" s="188"/>
      <c r="O46" s="189" t="s">
        <v>246</v>
      </c>
      <c r="P46" s="189"/>
      <c r="Q46" s="185"/>
      <c r="R46" s="190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88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</row>
    <row r="47" customFormat="false" ht="11.25" hidden="false" customHeight="true" outlineLevel="0" collapsed="false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189" t="s">
        <v>248</v>
      </c>
      <c r="L47" s="185"/>
      <c r="M47" s="189"/>
      <c r="N47" s="188"/>
      <c r="O47" s="189" t="s">
        <v>247</v>
      </c>
      <c r="P47" s="189"/>
      <c r="Q47" s="185"/>
      <c r="R47" s="190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88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</row>
    <row r="48" customFormat="false" ht="11.25" hidden="false" customHeight="true" outlineLevel="0" collapsed="false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189" t="s">
        <v>249</v>
      </c>
      <c r="L48" s="185"/>
      <c r="M48" s="189"/>
      <c r="N48" s="188"/>
      <c r="O48" s="189" t="s">
        <v>248</v>
      </c>
      <c r="P48" s="189"/>
      <c r="Q48" s="185"/>
      <c r="R48" s="190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88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</row>
    <row r="49" customFormat="false" ht="11.25" hidden="false" customHeight="true" outlineLevel="0" collapsed="false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189" t="s">
        <v>250</v>
      </c>
      <c r="L49" s="185"/>
      <c r="M49" s="189"/>
      <c r="N49" s="188"/>
      <c r="O49" s="189" t="s">
        <v>249</v>
      </c>
      <c r="P49" s="189"/>
      <c r="Q49" s="185"/>
      <c r="R49" s="190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88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</row>
    <row r="50" customFormat="false" ht="11.25" hidden="false" customHeight="true" outlineLevel="0" collapsed="false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189" t="s">
        <v>251</v>
      </c>
      <c r="L50" s="185"/>
      <c r="M50" s="189"/>
      <c r="N50" s="188"/>
      <c r="O50" s="189" t="s">
        <v>250</v>
      </c>
      <c r="P50" s="189"/>
      <c r="Q50" s="185"/>
      <c r="R50" s="190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88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</row>
    <row r="51" customFormat="false" ht="11.25" hidden="false" customHeight="true" outlineLevel="0" collapsed="false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189" t="s">
        <v>252</v>
      </c>
      <c r="L51" s="185"/>
      <c r="M51" s="189"/>
      <c r="N51" s="188"/>
      <c r="O51" s="189" t="s">
        <v>251</v>
      </c>
      <c r="P51" s="189"/>
      <c r="Q51" s="185"/>
      <c r="R51" s="190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88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</row>
    <row r="52" customFormat="false" ht="11.25" hidden="false" customHeight="true" outlineLevel="0" collapsed="false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189" t="s">
        <v>253</v>
      </c>
      <c r="L52" s="185"/>
      <c r="M52" s="189"/>
      <c r="N52" s="188"/>
      <c r="O52" s="189" t="s">
        <v>252</v>
      </c>
      <c r="P52" s="189"/>
      <c r="Q52" s="185"/>
      <c r="R52" s="190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88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</row>
    <row r="53" customFormat="false" ht="11.25" hidden="false" customHeight="true" outlineLevel="0" collapsed="false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189" t="s">
        <v>254</v>
      </c>
      <c r="L53" s="185"/>
      <c r="M53" s="189"/>
      <c r="N53" s="188"/>
      <c r="O53" s="189" t="s">
        <v>253</v>
      </c>
      <c r="P53" s="189"/>
      <c r="Q53" s="185"/>
      <c r="R53" s="190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88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</row>
    <row r="54" customFormat="false" ht="11.25" hidden="false" customHeight="true" outlineLevel="0" collapsed="false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189" t="s">
        <v>255</v>
      </c>
      <c r="L54" s="185"/>
      <c r="M54" s="189"/>
      <c r="N54" s="188"/>
      <c r="O54" s="189" t="s">
        <v>254</v>
      </c>
      <c r="P54" s="189"/>
      <c r="Q54" s="185"/>
      <c r="R54" s="190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88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</row>
    <row r="55" customFormat="false" ht="11.25" hidden="false" customHeight="true" outlineLevel="0" collapsed="false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189" t="s">
        <v>256</v>
      </c>
      <c r="L55" s="185"/>
      <c r="M55" s="189"/>
      <c r="N55" s="188"/>
      <c r="O55" s="189" t="s">
        <v>255</v>
      </c>
      <c r="P55" s="189"/>
      <c r="Q55" s="185"/>
      <c r="R55" s="190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88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</row>
    <row r="56" customFormat="false" ht="11.25" hidden="false" customHeight="true" outlineLevel="0" collapsed="false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189" t="s">
        <v>257</v>
      </c>
      <c r="L56" s="185"/>
      <c r="M56" s="189"/>
      <c r="N56" s="188"/>
      <c r="O56" s="189" t="s">
        <v>256</v>
      </c>
      <c r="P56" s="189"/>
      <c r="Q56" s="185"/>
      <c r="R56" s="190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</row>
    <row r="57" customFormat="false" ht="11.25" hidden="false" customHeight="true" outlineLevel="0" collapsed="false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189" t="s">
        <v>258</v>
      </c>
      <c r="L57" s="185"/>
      <c r="M57" s="189"/>
      <c r="N57" s="188"/>
      <c r="O57" s="189" t="s">
        <v>257</v>
      </c>
      <c r="P57" s="189"/>
      <c r="Q57" s="185"/>
      <c r="R57" s="190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</row>
    <row r="58" customFormat="false" ht="11.25" hidden="false" customHeight="true" outlineLevel="0" collapsed="false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189" t="s">
        <v>259</v>
      </c>
      <c r="L58" s="185"/>
      <c r="M58" s="189"/>
      <c r="N58" s="188"/>
      <c r="O58" s="189" t="s">
        <v>258</v>
      </c>
      <c r="P58" s="189"/>
      <c r="Q58" s="185"/>
      <c r="R58" s="190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</row>
    <row r="59" customFormat="false" ht="11.25" hidden="false" customHeight="true" outlineLevel="0" collapsed="false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189" t="s">
        <v>260</v>
      </c>
      <c r="L59" s="185"/>
      <c r="M59" s="189"/>
      <c r="N59" s="188"/>
      <c r="O59" s="189" t="s">
        <v>259</v>
      </c>
      <c r="P59" s="189"/>
      <c r="Q59" s="185"/>
      <c r="R59" s="190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</row>
    <row r="60" customFormat="false" ht="11.25" hidden="false" customHeight="true" outlineLevel="0" collapsed="false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189" t="s">
        <v>261</v>
      </c>
      <c r="L60" s="185"/>
      <c r="M60" s="189"/>
      <c r="N60" s="188"/>
      <c r="O60" s="189" t="s">
        <v>260</v>
      </c>
      <c r="P60" s="189"/>
      <c r="Q60" s="185"/>
      <c r="R60" s="190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1"/>
      <c r="DA60" s="191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</row>
    <row r="61" customFormat="false" ht="11.25" hidden="false" customHeight="true" outlineLevel="0" collapsed="false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189" t="s">
        <v>262</v>
      </c>
      <c r="L61" s="185"/>
      <c r="M61" s="189"/>
      <c r="N61" s="188"/>
      <c r="O61" s="189" t="s">
        <v>261</v>
      </c>
      <c r="P61" s="189"/>
      <c r="Q61" s="185"/>
      <c r="R61" s="190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</row>
    <row r="62" customFormat="false" ht="11.25" hidden="false" customHeight="true" outlineLevel="0" collapsed="false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189" t="s">
        <v>263</v>
      </c>
      <c r="L62" s="185"/>
      <c r="M62" s="189"/>
      <c r="N62" s="188"/>
      <c r="O62" s="189" t="s">
        <v>262</v>
      </c>
      <c r="P62" s="189"/>
      <c r="Q62" s="185"/>
      <c r="R62" s="190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</row>
    <row r="63" customFormat="false" ht="11.25" hidden="false" customHeight="true" outlineLevel="0" collapsed="false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189" t="s">
        <v>264</v>
      </c>
      <c r="L63" s="185"/>
      <c r="M63" s="189"/>
      <c r="N63" s="188"/>
      <c r="O63" s="189" t="s">
        <v>263</v>
      </c>
      <c r="P63" s="189"/>
      <c r="Q63" s="185"/>
      <c r="R63" s="190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</row>
    <row r="64" customFormat="false" ht="11.25" hidden="false" customHeight="true" outlineLevel="0" collapsed="false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189" t="s">
        <v>265</v>
      </c>
      <c r="L64" s="185"/>
      <c r="M64" s="189"/>
      <c r="N64" s="188"/>
      <c r="O64" s="189" t="s">
        <v>264</v>
      </c>
      <c r="P64" s="189"/>
      <c r="Q64" s="185"/>
      <c r="R64" s="190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</row>
    <row r="65" customFormat="false" ht="11.25" hidden="false" customHeight="true" outlineLevel="0" collapsed="false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189" t="s">
        <v>266</v>
      </c>
      <c r="L65" s="185"/>
      <c r="M65" s="189"/>
      <c r="N65" s="188"/>
      <c r="O65" s="189" t="s">
        <v>265</v>
      </c>
      <c r="P65" s="189"/>
      <c r="Q65" s="185"/>
      <c r="R65" s="190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</row>
    <row r="66" customFormat="false" ht="11.25" hidden="false" customHeight="true" outlineLevel="0" collapsed="false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189" t="s">
        <v>267</v>
      </c>
      <c r="L66" s="185"/>
      <c r="M66" s="189"/>
      <c r="N66" s="188"/>
      <c r="O66" s="189" t="s">
        <v>266</v>
      </c>
      <c r="P66" s="189"/>
      <c r="Q66" s="185"/>
      <c r="R66" s="190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</row>
    <row r="67" customFormat="false" ht="11.25" hidden="false" customHeight="true" outlineLevel="0" collapsed="false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189" t="s">
        <v>268</v>
      </c>
      <c r="L67" s="185"/>
      <c r="M67" s="189"/>
      <c r="N67" s="188"/>
      <c r="O67" s="189" t="s">
        <v>267</v>
      </c>
      <c r="P67" s="189"/>
      <c r="Q67" s="185"/>
      <c r="R67" s="190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</row>
    <row r="68" customFormat="false" ht="11.25" hidden="false" customHeight="true" outlineLevel="0" collapsed="false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189" t="s">
        <v>269</v>
      </c>
      <c r="L68" s="185"/>
      <c r="M68" s="189"/>
      <c r="N68" s="188"/>
      <c r="O68" s="189" t="s">
        <v>268</v>
      </c>
      <c r="P68" s="189"/>
      <c r="Q68" s="185"/>
      <c r="R68" s="190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</row>
    <row r="69" customFormat="false" ht="11.25" hidden="false" customHeight="true" outlineLevel="0" collapsed="false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189" t="s">
        <v>270</v>
      </c>
      <c r="L69" s="185"/>
      <c r="M69" s="189"/>
      <c r="N69" s="188"/>
      <c r="O69" s="189" t="s">
        <v>269</v>
      </c>
      <c r="P69" s="189"/>
      <c r="Q69" s="185"/>
      <c r="R69" s="190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1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</row>
    <row r="70" customFormat="false" ht="11.25" hidden="false" customHeight="true" outlineLevel="0" collapsed="false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189" t="s">
        <v>271</v>
      </c>
      <c r="L70" s="185"/>
      <c r="M70" s="189"/>
      <c r="N70" s="188"/>
      <c r="O70" s="189" t="s">
        <v>270</v>
      </c>
      <c r="P70" s="189"/>
      <c r="Q70" s="185"/>
      <c r="R70" s="190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</row>
    <row r="71" customFormat="false" ht="11.25" hidden="false" customHeight="true" outlineLevel="0" collapsed="false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189" t="s">
        <v>272</v>
      </c>
      <c r="L71" s="185"/>
      <c r="M71" s="189"/>
      <c r="N71" s="188"/>
      <c r="O71" s="189" t="s">
        <v>271</v>
      </c>
      <c r="P71" s="189"/>
      <c r="Q71" s="185"/>
      <c r="R71" s="190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191"/>
      <c r="CW71" s="191"/>
      <c r="CX71" s="191"/>
      <c r="CY71" s="191"/>
      <c r="CZ71" s="191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</row>
    <row r="72" customFormat="false" ht="11.25" hidden="false" customHeight="true" outlineLevel="0" collapsed="false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189" t="s">
        <v>273</v>
      </c>
      <c r="L72" s="185"/>
      <c r="M72" s="189"/>
      <c r="N72" s="188"/>
      <c r="O72" s="189" t="s">
        <v>272</v>
      </c>
      <c r="P72" s="189"/>
      <c r="Q72" s="185"/>
      <c r="R72" s="190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  <c r="CE72" s="191"/>
      <c r="CF72" s="191"/>
      <c r="CG72" s="191"/>
      <c r="CH72" s="191"/>
      <c r="CI72" s="191"/>
      <c r="CJ72" s="191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1"/>
      <c r="CV72" s="191"/>
      <c r="CW72" s="191"/>
      <c r="CX72" s="191"/>
      <c r="CY72" s="191"/>
      <c r="CZ72" s="191"/>
      <c r="DA72" s="191"/>
      <c r="DB72" s="191"/>
      <c r="DC72" s="191"/>
      <c r="DD72" s="191"/>
      <c r="DE72" s="191"/>
      <c r="DF72" s="191"/>
      <c r="DG72" s="191"/>
      <c r="DH72" s="191"/>
      <c r="DI72" s="191"/>
      <c r="DJ72" s="191"/>
      <c r="DK72" s="191"/>
    </row>
    <row r="73" customFormat="false" ht="11.25" hidden="false" customHeight="true" outlineLevel="0" collapsed="false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189" t="s">
        <v>274</v>
      </c>
      <c r="L73" s="185"/>
      <c r="M73" s="189"/>
      <c r="N73" s="188"/>
      <c r="O73" s="189" t="s">
        <v>273</v>
      </c>
      <c r="P73" s="189"/>
      <c r="Q73" s="185"/>
      <c r="R73" s="190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1"/>
      <c r="CV73" s="191"/>
      <c r="CW73" s="191"/>
      <c r="CX73" s="191"/>
      <c r="CY73" s="191"/>
      <c r="CZ73" s="191"/>
      <c r="DA73" s="191"/>
      <c r="DB73" s="191"/>
      <c r="DC73" s="191"/>
      <c r="DD73" s="191"/>
      <c r="DE73" s="191"/>
      <c r="DF73" s="191"/>
      <c r="DG73" s="191"/>
      <c r="DH73" s="191"/>
      <c r="DI73" s="191"/>
      <c r="DJ73" s="191"/>
      <c r="DK73" s="191"/>
    </row>
    <row r="74" customFormat="false" ht="11.25" hidden="false" customHeight="true" outlineLevel="0" collapsed="false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189" t="s">
        <v>275</v>
      </c>
      <c r="L74" s="185"/>
      <c r="M74" s="189"/>
      <c r="N74" s="188"/>
      <c r="O74" s="189" t="s">
        <v>274</v>
      </c>
      <c r="P74" s="189"/>
      <c r="Q74" s="185"/>
      <c r="R74" s="190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</row>
    <row r="75" customFormat="false" ht="11.25" hidden="false" customHeight="true" outlineLevel="0" collapsed="false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189" t="s">
        <v>276</v>
      </c>
      <c r="L75" s="185"/>
      <c r="M75" s="189"/>
      <c r="N75" s="188"/>
      <c r="O75" s="189" t="s">
        <v>275</v>
      </c>
      <c r="P75" s="189"/>
      <c r="Q75" s="185"/>
      <c r="R75" s="190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</row>
    <row r="76" customFormat="false" ht="11.25" hidden="false" customHeight="true" outlineLevel="0" collapsed="false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189" t="s">
        <v>277</v>
      </c>
      <c r="L76" s="185"/>
      <c r="M76" s="189"/>
      <c r="N76" s="188"/>
      <c r="O76" s="189" t="s">
        <v>276</v>
      </c>
      <c r="P76" s="189"/>
      <c r="Q76" s="185"/>
      <c r="R76" s="190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</row>
    <row r="77" customFormat="false" ht="11.25" hidden="false" customHeight="true" outlineLevel="0" collapsed="false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189" t="s">
        <v>278</v>
      </c>
      <c r="L77" s="185"/>
      <c r="M77" s="189"/>
      <c r="N77" s="188"/>
      <c r="O77" s="189" t="s">
        <v>277</v>
      </c>
      <c r="P77" s="189"/>
      <c r="Q77" s="185"/>
      <c r="R77" s="190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</row>
    <row r="78" customFormat="false" ht="11.25" hidden="false" customHeight="true" outlineLevel="0" collapsed="false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189" t="s">
        <v>279</v>
      </c>
      <c r="L78" s="185"/>
      <c r="M78" s="189"/>
      <c r="N78" s="188"/>
      <c r="O78" s="189" t="s">
        <v>278</v>
      </c>
      <c r="P78" s="189"/>
      <c r="Q78" s="185"/>
      <c r="R78" s="190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</row>
    <row r="79" customFormat="false" ht="11.25" hidden="false" customHeight="true" outlineLevel="0" collapsed="false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189" t="s">
        <v>280</v>
      </c>
      <c r="L79" s="185"/>
      <c r="M79" s="189"/>
      <c r="N79" s="188"/>
      <c r="O79" s="189" t="s">
        <v>279</v>
      </c>
      <c r="P79" s="189"/>
      <c r="Q79" s="185"/>
      <c r="R79" s="190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</row>
    <row r="80" customFormat="false" ht="11.25" hidden="false" customHeight="true" outlineLevel="0" collapsed="false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189" t="s">
        <v>281</v>
      </c>
      <c r="L80" s="185"/>
      <c r="M80" s="189"/>
      <c r="N80" s="188"/>
      <c r="O80" s="189" t="s">
        <v>280</v>
      </c>
      <c r="P80" s="189"/>
      <c r="Q80" s="185"/>
      <c r="R80" s="190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</row>
    <row r="81" customFormat="false" ht="11.25" hidden="false" customHeight="true" outlineLevel="0" collapsed="false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189" t="s">
        <v>282</v>
      </c>
      <c r="L81" s="185"/>
      <c r="M81" s="189"/>
      <c r="N81" s="188"/>
      <c r="O81" s="189" t="s">
        <v>281</v>
      </c>
      <c r="P81" s="189"/>
      <c r="Q81" s="185"/>
      <c r="R81" s="190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1"/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</row>
    <row r="82" customFormat="false" ht="11.25" hidden="false" customHeight="true" outlineLevel="0" collapsed="false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189" t="s">
        <v>283</v>
      </c>
      <c r="L82" s="185"/>
      <c r="M82" s="189"/>
      <c r="N82" s="188"/>
      <c r="O82" s="189" t="s">
        <v>282</v>
      </c>
      <c r="P82" s="189"/>
      <c r="Q82" s="185"/>
      <c r="R82" s="190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1"/>
      <c r="CV82" s="191"/>
      <c r="CW82" s="191"/>
      <c r="CX82" s="191"/>
      <c r="CY82" s="191"/>
      <c r="CZ82" s="191"/>
      <c r="DA82" s="191"/>
      <c r="DB82" s="191"/>
      <c r="DC82" s="191"/>
      <c r="DD82" s="191"/>
      <c r="DE82" s="191"/>
      <c r="DF82" s="191"/>
      <c r="DG82" s="191"/>
      <c r="DH82" s="191"/>
      <c r="DI82" s="191"/>
      <c r="DJ82" s="191"/>
      <c r="DK82" s="191"/>
    </row>
    <row r="83" customFormat="false" ht="11.25" hidden="false" customHeight="true" outlineLevel="0" collapsed="false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189" t="s">
        <v>284</v>
      </c>
      <c r="L83" s="185"/>
      <c r="M83" s="189"/>
      <c r="N83" s="188"/>
      <c r="O83" s="189" t="s">
        <v>283</v>
      </c>
      <c r="P83" s="189"/>
      <c r="Q83" s="185"/>
      <c r="R83" s="190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1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</row>
    <row r="84" customFormat="false" ht="11.25" hidden="false" customHeight="true" outlineLevel="0" collapsed="false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189" t="s">
        <v>285</v>
      </c>
      <c r="L84" s="185"/>
      <c r="M84" s="189"/>
      <c r="N84" s="188"/>
      <c r="O84" s="189" t="s">
        <v>284</v>
      </c>
      <c r="P84" s="189"/>
      <c r="Q84" s="185"/>
      <c r="R84" s="190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</row>
    <row r="85" customFormat="false" ht="11.25" hidden="false" customHeight="true" outlineLevel="0" collapsed="false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189" t="s">
        <v>286</v>
      </c>
      <c r="L85" s="185"/>
      <c r="M85" s="189"/>
      <c r="N85" s="188"/>
      <c r="O85" s="189" t="s">
        <v>285</v>
      </c>
      <c r="P85" s="189"/>
      <c r="Q85" s="185"/>
      <c r="R85" s="190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</row>
    <row r="86" customFormat="false" ht="11.25" hidden="false" customHeight="true" outlineLevel="0" collapsed="false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189" t="s">
        <v>287</v>
      </c>
      <c r="L86" s="185"/>
      <c r="M86" s="189"/>
      <c r="N86" s="188"/>
      <c r="O86" s="189" t="s">
        <v>286</v>
      </c>
      <c r="P86" s="189"/>
      <c r="Q86" s="185"/>
      <c r="R86" s="190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191"/>
      <c r="CY86" s="191"/>
      <c r="CZ86" s="191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</row>
    <row r="87" customFormat="false" ht="11.25" hidden="false" customHeight="true" outlineLevel="0" collapsed="false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189" t="s">
        <v>288</v>
      </c>
      <c r="L87" s="185"/>
      <c r="M87" s="189"/>
      <c r="N87" s="188"/>
      <c r="O87" s="189" t="s">
        <v>287</v>
      </c>
      <c r="P87" s="189"/>
      <c r="Q87" s="185"/>
      <c r="R87" s="190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</row>
    <row r="88" customFormat="false" ht="11.25" hidden="false" customHeight="true" outlineLevel="0" collapsed="false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189" t="s">
        <v>289</v>
      </c>
      <c r="L88" s="185"/>
      <c r="M88" s="189"/>
      <c r="N88" s="188"/>
      <c r="O88" s="189" t="s">
        <v>288</v>
      </c>
      <c r="P88" s="189"/>
      <c r="Q88" s="185"/>
      <c r="R88" s="190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91"/>
      <c r="CY88" s="191"/>
      <c r="CZ88" s="191"/>
      <c r="DA88" s="191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</row>
    <row r="89" customFormat="false" ht="11.25" hidden="false" customHeight="true" outlineLevel="0" collapsed="false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189" t="s">
        <v>290</v>
      </c>
      <c r="L89" s="185"/>
      <c r="M89" s="189"/>
      <c r="N89" s="188"/>
      <c r="O89" s="189" t="s">
        <v>289</v>
      </c>
      <c r="P89" s="189"/>
      <c r="Q89" s="185"/>
      <c r="R89" s="190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</row>
    <row r="90" customFormat="false" ht="11.25" hidden="false" customHeight="true" outlineLevel="0" collapsed="false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189" t="s">
        <v>291</v>
      </c>
      <c r="L90" s="185"/>
      <c r="M90" s="189"/>
      <c r="N90" s="188"/>
      <c r="O90" s="189" t="s">
        <v>290</v>
      </c>
      <c r="P90" s="189"/>
      <c r="Q90" s="185"/>
      <c r="R90" s="190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</row>
    <row r="91" customFormat="false" ht="11.25" hidden="false" customHeight="true" outlineLevel="0" collapsed="false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189" t="s">
        <v>292</v>
      </c>
      <c r="L91" s="185"/>
      <c r="M91" s="189"/>
      <c r="N91" s="188"/>
      <c r="O91" s="189" t="s">
        <v>291</v>
      </c>
      <c r="P91" s="189"/>
      <c r="Q91" s="185"/>
      <c r="R91" s="190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  <c r="CV91" s="191"/>
      <c r="CW91" s="191"/>
      <c r="CX91" s="191"/>
      <c r="CY91" s="191"/>
      <c r="CZ91" s="191"/>
      <c r="DA91" s="191"/>
      <c r="DB91" s="191"/>
      <c r="DC91" s="191"/>
      <c r="DD91" s="191"/>
      <c r="DE91" s="191"/>
      <c r="DF91" s="191"/>
      <c r="DG91" s="191"/>
      <c r="DH91" s="191"/>
      <c r="DI91" s="191"/>
      <c r="DJ91" s="191"/>
      <c r="DK91" s="191"/>
    </row>
    <row r="92" customFormat="false" ht="11.25" hidden="false" customHeight="true" outlineLevel="0" collapsed="false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189" t="s">
        <v>293</v>
      </c>
      <c r="L92" s="185"/>
      <c r="M92" s="189"/>
      <c r="N92" s="188"/>
      <c r="O92" s="189" t="s">
        <v>292</v>
      </c>
      <c r="P92" s="189"/>
      <c r="Q92" s="185"/>
      <c r="R92" s="190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1"/>
      <c r="CV92" s="191"/>
      <c r="CW92" s="191"/>
      <c r="CX92" s="191"/>
      <c r="CY92" s="191"/>
      <c r="CZ92" s="191"/>
      <c r="DA92" s="191"/>
      <c r="DB92" s="191"/>
      <c r="DC92" s="191"/>
      <c r="DD92" s="191"/>
      <c r="DE92" s="191"/>
      <c r="DF92" s="191"/>
      <c r="DG92" s="191"/>
      <c r="DH92" s="191"/>
      <c r="DI92" s="191"/>
      <c r="DJ92" s="191"/>
      <c r="DK92" s="191"/>
    </row>
    <row r="93" customFormat="false" ht="11.25" hidden="false" customHeight="true" outlineLevel="0" collapsed="false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189" t="s">
        <v>294</v>
      </c>
      <c r="L93" s="185"/>
      <c r="M93" s="189"/>
      <c r="N93" s="188"/>
      <c r="O93" s="189" t="s">
        <v>293</v>
      </c>
      <c r="P93" s="189"/>
      <c r="Q93" s="185"/>
      <c r="R93" s="190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  <c r="DE93" s="191"/>
      <c r="DF93" s="191"/>
      <c r="DG93" s="191"/>
      <c r="DH93" s="191"/>
      <c r="DI93" s="191"/>
      <c r="DJ93" s="191"/>
      <c r="DK93" s="191"/>
    </row>
    <row r="94" customFormat="false" ht="11.25" hidden="false" customHeight="true" outlineLevel="0" collapsed="false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189" t="s">
        <v>295</v>
      </c>
      <c r="L94" s="185"/>
      <c r="M94" s="189"/>
      <c r="N94" s="188"/>
      <c r="O94" s="189" t="s">
        <v>294</v>
      </c>
      <c r="P94" s="189"/>
      <c r="Q94" s="185"/>
      <c r="R94" s="190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1"/>
      <c r="CV94" s="191"/>
      <c r="CW94" s="191"/>
      <c r="CX94" s="191"/>
      <c r="CY94" s="191"/>
      <c r="CZ94" s="191"/>
      <c r="DA94" s="191"/>
      <c r="DB94" s="191"/>
      <c r="DC94" s="191"/>
      <c r="DD94" s="191"/>
      <c r="DE94" s="191"/>
      <c r="DF94" s="191"/>
      <c r="DG94" s="191"/>
      <c r="DH94" s="191"/>
      <c r="DI94" s="191"/>
      <c r="DJ94" s="191"/>
      <c r="DK94" s="191"/>
    </row>
    <row r="95" customFormat="false" ht="11.25" hidden="false" customHeight="true" outlineLevel="0" collapsed="false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189" t="s">
        <v>296</v>
      </c>
      <c r="L95" s="185"/>
      <c r="M95" s="189"/>
      <c r="N95" s="188"/>
      <c r="O95" s="189" t="s">
        <v>295</v>
      </c>
      <c r="P95" s="189"/>
      <c r="Q95" s="185"/>
      <c r="R95" s="190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</row>
    <row r="96" customFormat="false" ht="11.25" hidden="false" customHeight="true" outlineLevel="0" collapsed="false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189" t="s">
        <v>297</v>
      </c>
      <c r="L96" s="185"/>
      <c r="M96" s="189"/>
      <c r="N96" s="188"/>
      <c r="O96" s="189" t="s">
        <v>296</v>
      </c>
      <c r="P96" s="189"/>
      <c r="Q96" s="185"/>
      <c r="R96" s="190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  <c r="BR96" s="191"/>
      <c r="BS96" s="191"/>
      <c r="BT96" s="191"/>
      <c r="BU96" s="191"/>
      <c r="BV96" s="191"/>
      <c r="BW96" s="191"/>
      <c r="BX96" s="191"/>
      <c r="BY96" s="191"/>
      <c r="BZ96" s="191"/>
      <c r="CA96" s="191"/>
      <c r="CB96" s="191"/>
      <c r="CC96" s="191"/>
      <c r="CD96" s="191"/>
      <c r="CE96" s="191"/>
      <c r="CF96" s="191"/>
      <c r="CG96" s="191"/>
      <c r="CH96" s="191"/>
      <c r="CI96" s="191"/>
      <c r="CJ96" s="191"/>
      <c r="CK96" s="191"/>
      <c r="CL96" s="191"/>
      <c r="CM96" s="191"/>
      <c r="CN96" s="191"/>
      <c r="CO96" s="191"/>
      <c r="CP96" s="191"/>
      <c r="CQ96" s="191"/>
      <c r="CR96" s="191"/>
      <c r="CS96" s="191"/>
      <c r="CT96" s="191"/>
      <c r="CU96" s="191"/>
      <c r="CV96" s="191"/>
      <c r="CW96" s="191"/>
      <c r="CX96" s="191"/>
      <c r="CY96" s="191"/>
      <c r="CZ96" s="191"/>
      <c r="DA96" s="191"/>
      <c r="DB96" s="191"/>
      <c r="DC96" s="191"/>
      <c r="DD96" s="191"/>
      <c r="DE96" s="191"/>
      <c r="DF96" s="191"/>
      <c r="DG96" s="191"/>
      <c r="DH96" s="191"/>
      <c r="DI96" s="191"/>
      <c r="DJ96" s="191"/>
      <c r="DK96" s="191"/>
    </row>
    <row r="97" customFormat="false" ht="11.25" hidden="false" customHeight="true" outlineLevel="0" collapsed="false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189" t="s">
        <v>298</v>
      </c>
      <c r="L97" s="185"/>
      <c r="M97" s="189"/>
      <c r="N97" s="188"/>
      <c r="O97" s="189" t="s">
        <v>297</v>
      </c>
      <c r="P97" s="189"/>
      <c r="Q97" s="185"/>
      <c r="R97" s="190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</row>
    <row r="98" customFormat="false" ht="11.25" hidden="false" customHeight="true" outlineLevel="0" collapsed="false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189" t="s">
        <v>299</v>
      </c>
      <c r="L98" s="185"/>
      <c r="M98" s="189"/>
      <c r="N98" s="188"/>
      <c r="O98" s="189" t="s">
        <v>298</v>
      </c>
      <c r="P98" s="189"/>
      <c r="Q98" s="185"/>
      <c r="R98" s="190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91"/>
      <c r="BT98" s="191"/>
      <c r="BU98" s="191"/>
      <c r="BV98" s="191"/>
      <c r="BW98" s="191"/>
      <c r="BX98" s="191"/>
      <c r="BY98" s="191"/>
      <c r="BZ98" s="191"/>
      <c r="CA98" s="191"/>
      <c r="CB98" s="191"/>
      <c r="CC98" s="191"/>
      <c r="CD98" s="191"/>
      <c r="CE98" s="191"/>
      <c r="CF98" s="191"/>
      <c r="CG98" s="191"/>
      <c r="CH98" s="191"/>
      <c r="CI98" s="191"/>
      <c r="CJ98" s="191"/>
      <c r="CK98" s="191"/>
      <c r="CL98" s="191"/>
      <c r="CM98" s="191"/>
      <c r="CN98" s="191"/>
      <c r="CO98" s="191"/>
      <c r="CP98" s="191"/>
      <c r="CQ98" s="191"/>
      <c r="CR98" s="191"/>
      <c r="CS98" s="191"/>
      <c r="CT98" s="191"/>
      <c r="CU98" s="191"/>
      <c r="CV98" s="191"/>
      <c r="CW98" s="191"/>
      <c r="CX98" s="191"/>
      <c r="CY98" s="191"/>
      <c r="CZ98" s="191"/>
      <c r="DA98" s="191"/>
      <c r="DB98" s="191"/>
      <c r="DC98" s="191"/>
      <c r="DD98" s="191"/>
      <c r="DE98" s="191"/>
      <c r="DF98" s="191"/>
      <c r="DG98" s="191"/>
      <c r="DH98" s="191"/>
      <c r="DI98" s="191"/>
      <c r="DJ98" s="191"/>
      <c r="DK98" s="191"/>
    </row>
    <row r="99" customFormat="false" ht="11.25" hidden="false" customHeight="true" outlineLevel="0" collapsed="false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189" t="s">
        <v>300</v>
      </c>
      <c r="L99" s="185"/>
      <c r="M99" s="189"/>
      <c r="N99" s="188"/>
      <c r="O99" s="189" t="s">
        <v>299</v>
      </c>
      <c r="P99" s="189"/>
      <c r="Q99" s="185"/>
      <c r="R99" s="190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  <c r="BU99" s="191"/>
      <c r="BV99" s="191"/>
      <c r="BW99" s="191"/>
      <c r="BX99" s="191"/>
      <c r="BY99" s="191"/>
      <c r="BZ99" s="191"/>
      <c r="CA99" s="191"/>
      <c r="CB99" s="191"/>
      <c r="CC99" s="191"/>
      <c r="CD99" s="191"/>
      <c r="CE99" s="191"/>
      <c r="CF99" s="191"/>
      <c r="CG99" s="191"/>
      <c r="CH99" s="191"/>
      <c r="CI99" s="191"/>
      <c r="CJ99" s="191"/>
      <c r="CK99" s="191"/>
      <c r="CL99" s="191"/>
      <c r="CM99" s="191"/>
      <c r="CN99" s="191"/>
      <c r="CO99" s="191"/>
      <c r="CP99" s="191"/>
      <c r="CQ99" s="191"/>
      <c r="CR99" s="191"/>
      <c r="CS99" s="191"/>
      <c r="CT99" s="191"/>
      <c r="CU99" s="191"/>
      <c r="CV99" s="191"/>
      <c r="CW99" s="191"/>
      <c r="CX99" s="191"/>
      <c r="CY99" s="191"/>
      <c r="CZ99" s="191"/>
      <c r="DA99" s="191"/>
      <c r="DB99" s="191"/>
      <c r="DC99" s="191"/>
      <c r="DD99" s="191"/>
      <c r="DE99" s="191"/>
      <c r="DF99" s="191"/>
      <c r="DG99" s="191"/>
      <c r="DH99" s="191"/>
      <c r="DI99" s="191"/>
      <c r="DJ99" s="191"/>
      <c r="DK99" s="191"/>
    </row>
    <row r="100" customFormat="false" ht="11.25" hidden="false" customHeight="true" outlineLevel="0" collapsed="false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189" t="s">
        <v>301</v>
      </c>
      <c r="L100" s="185"/>
      <c r="M100" s="189"/>
      <c r="N100" s="188"/>
      <c r="O100" s="189" t="s">
        <v>300</v>
      </c>
      <c r="P100" s="189"/>
      <c r="Q100" s="185"/>
      <c r="R100" s="190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1"/>
      <c r="BZ100" s="191"/>
      <c r="CA100" s="191"/>
      <c r="CB100" s="191"/>
      <c r="CC100" s="191"/>
      <c r="CD100" s="191"/>
      <c r="CE100" s="191"/>
      <c r="CF100" s="191"/>
      <c r="CG100" s="191"/>
      <c r="CH100" s="191"/>
      <c r="CI100" s="191"/>
      <c r="CJ100" s="191"/>
      <c r="CK100" s="191"/>
      <c r="CL100" s="191"/>
      <c r="CM100" s="191"/>
      <c r="CN100" s="191"/>
      <c r="CO100" s="191"/>
      <c r="CP100" s="191"/>
      <c r="CQ100" s="191"/>
      <c r="CR100" s="191"/>
      <c r="CS100" s="191"/>
      <c r="CT100" s="191"/>
      <c r="CU100" s="191"/>
      <c r="CV100" s="191"/>
      <c r="CW100" s="191"/>
      <c r="CX100" s="191"/>
      <c r="CY100" s="191"/>
      <c r="CZ100" s="191"/>
      <c r="DA100" s="191"/>
      <c r="DB100" s="191"/>
      <c r="DC100" s="191"/>
      <c r="DD100" s="191"/>
      <c r="DE100" s="191"/>
      <c r="DF100" s="191"/>
      <c r="DG100" s="191"/>
      <c r="DH100" s="191"/>
      <c r="DI100" s="191"/>
      <c r="DJ100" s="191"/>
      <c r="DK100" s="191"/>
    </row>
    <row r="101" customFormat="false" ht="11.25" hidden="false" customHeight="true" outlineLevel="0" collapsed="false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189" t="s">
        <v>302</v>
      </c>
      <c r="L101" s="185"/>
      <c r="M101" s="189"/>
      <c r="N101" s="188"/>
      <c r="O101" s="189" t="s">
        <v>301</v>
      </c>
      <c r="P101" s="189"/>
      <c r="Q101" s="185"/>
      <c r="R101" s="190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  <c r="CX101" s="191"/>
      <c r="CY101" s="191"/>
      <c r="CZ101" s="191"/>
      <c r="DA101" s="191"/>
      <c r="DB101" s="191"/>
      <c r="DC101" s="191"/>
      <c r="DD101" s="191"/>
      <c r="DE101" s="191"/>
      <c r="DF101" s="191"/>
      <c r="DG101" s="191"/>
      <c r="DH101" s="191"/>
      <c r="DI101" s="191"/>
      <c r="DJ101" s="191"/>
      <c r="DK101" s="191"/>
    </row>
    <row r="102" customFormat="false" ht="11.25" hidden="false" customHeight="true" outlineLevel="0" collapsed="false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189" t="s">
        <v>303</v>
      </c>
      <c r="L102" s="185"/>
      <c r="M102" s="189"/>
      <c r="N102" s="188"/>
      <c r="O102" s="189" t="s">
        <v>302</v>
      </c>
      <c r="P102" s="189"/>
      <c r="Q102" s="185"/>
      <c r="R102" s="190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  <c r="CV102" s="191"/>
      <c r="CW102" s="191"/>
      <c r="CX102" s="191"/>
      <c r="CY102" s="191"/>
      <c r="CZ102" s="191"/>
      <c r="DA102" s="191"/>
      <c r="DB102" s="191"/>
      <c r="DC102" s="191"/>
      <c r="DD102" s="191"/>
      <c r="DE102" s="191"/>
      <c r="DF102" s="191"/>
      <c r="DG102" s="191"/>
      <c r="DH102" s="191"/>
      <c r="DI102" s="191"/>
      <c r="DJ102" s="191"/>
      <c r="DK102" s="191"/>
    </row>
    <row r="103" customFormat="false" ht="11.25" hidden="false" customHeight="true" outlineLevel="0" collapsed="false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189" t="s">
        <v>304</v>
      </c>
      <c r="L103" s="185"/>
      <c r="M103" s="189"/>
      <c r="N103" s="188"/>
      <c r="O103" s="189" t="s">
        <v>303</v>
      </c>
      <c r="P103" s="189"/>
      <c r="Q103" s="185"/>
      <c r="R103" s="190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191"/>
      <c r="CH103" s="191"/>
      <c r="CI103" s="191"/>
      <c r="CJ103" s="191"/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1"/>
      <c r="CV103" s="191"/>
      <c r="CW103" s="191"/>
      <c r="CX103" s="191"/>
      <c r="CY103" s="191"/>
      <c r="CZ103" s="191"/>
      <c r="DA103" s="191"/>
      <c r="DB103" s="191"/>
      <c r="DC103" s="191"/>
      <c r="DD103" s="191"/>
      <c r="DE103" s="191"/>
      <c r="DF103" s="191"/>
      <c r="DG103" s="191"/>
      <c r="DH103" s="191"/>
      <c r="DI103" s="191"/>
      <c r="DJ103" s="191"/>
      <c r="DK103" s="191"/>
    </row>
    <row r="104" customFormat="false" ht="11.25" hidden="false" customHeight="true" outlineLevel="0" collapsed="false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189" t="s">
        <v>305</v>
      </c>
      <c r="L104" s="185"/>
      <c r="M104" s="189"/>
      <c r="N104" s="188"/>
      <c r="O104" s="189" t="s">
        <v>304</v>
      </c>
      <c r="P104" s="189"/>
      <c r="Q104" s="185"/>
      <c r="R104" s="185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</row>
    <row r="105" customFormat="false" ht="11.25" hidden="false" customHeight="true" outlineLevel="0" collapsed="false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189" t="s">
        <v>306</v>
      </c>
      <c r="L105" s="185"/>
      <c r="M105" s="189"/>
      <c r="N105" s="188"/>
      <c r="O105" s="189" t="s">
        <v>305</v>
      </c>
      <c r="P105" s="189"/>
      <c r="Q105" s="185"/>
      <c r="R105" s="185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191"/>
      <c r="CA105" s="191"/>
      <c r="CB105" s="191"/>
      <c r="CC105" s="191"/>
      <c r="CD105" s="191"/>
      <c r="CE105" s="191"/>
      <c r="CF105" s="191"/>
      <c r="CG105" s="191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1"/>
      <c r="CV105" s="191"/>
      <c r="CW105" s="191"/>
      <c r="CX105" s="191"/>
      <c r="CY105" s="191"/>
      <c r="CZ105" s="191"/>
      <c r="DA105" s="191"/>
      <c r="DB105" s="191"/>
      <c r="DC105" s="191"/>
      <c r="DD105" s="191"/>
      <c r="DE105" s="191"/>
      <c r="DF105" s="191"/>
      <c r="DG105" s="191"/>
      <c r="DH105" s="191"/>
      <c r="DI105" s="191"/>
      <c r="DJ105" s="191"/>
      <c r="DK105" s="191"/>
    </row>
    <row r="106" customFormat="false" ht="11.25" hidden="false" customHeight="true" outlineLevel="0" collapsed="false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189" t="s">
        <v>307</v>
      </c>
      <c r="L106" s="185"/>
      <c r="M106" s="189"/>
      <c r="N106" s="188"/>
      <c r="O106" s="189" t="s">
        <v>306</v>
      </c>
      <c r="P106" s="189"/>
      <c r="Q106" s="185"/>
      <c r="R106" s="185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  <c r="CX106" s="191"/>
      <c r="CY106" s="191"/>
      <c r="CZ106" s="191"/>
      <c r="DA106" s="191"/>
      <c r="DB106" s="191"/>
      <c r="DC106" s="191"/>
      <c r="DD106" s="191"/>
      <c r="DE106" s="191"/>
      <c r="DF106" s="191"/>
      <c r="DG106" s="191"/>
      <c r="DH106" s="191"/>
      <c r="DI106" s="191"/>
      <c r="DJ106" s="191"/>
      <c r="DK106" s="191"/>
    </row>
    <row r="107" customFormat="false" ht="11.25" hidden="false" customHeight="true" outlineLevel="0" collapsed="false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185" t="s">
        <v>308</v>
      </c>
      <c r="L107" s="185"/>
      <c r="M107" s="189"/>
      <c r="N107" s="188"/>
      <c r="O107" s="189" t="s">
        <v>307</v>
      </c>
      <c r="P107" s="189"/>
      <c r="Q107" s="185"/>
      <c r="R107" s="190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  <c r="CV107" s="191"/>
      <c r="CW107" s="191"/>
      <c r="CX107" s="191"/>
      <c r="CY107" s="191"/>
      <c r="CZ107" s="191"/>
      <c r="DA107" s="191"/>
      <c r="DB107" s="191"/>
      <c r="DC107" s="191"/>
      <c r="DD107" s="191"/>
      <c r="DE107" s="191"/>
      <c r="DF107" s="191"/>
      <c r="DG107" s="191"/>
      <c r="DH107" s="191"/>
      <c r="DI107" s="191"/>
      <c r="DJ107" s="191"/>
      <c r="DK107" s="191"/>
    </row>
    <row r="108" customFormat="false" ht="11.25" hidden="false" customHeight="true" outlineLevel="0" collapsed="false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185" t="s">
        <v>30</v>
      </c>
      <c r="L108" s="185"/>
      <c r="M108" s="189"/>
      <c r="N108" s="188"/>
      <c r="O108" s="185" t="s">
        <v>308</v>
      </c>
      <c r="P108" s="189"/>
      <c r="Q108" s="185"/>
      <c r="R108" s="190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91"/>
      <c r="CR108" s="191"/>
      <c r="CS108" s="191"/>
      <c r="CT108" s="191"/>
      <c r="CU108" s="191"/>
      <c r="CV108" s="191"/>
      <c r="CW108" s="191"/>
      <c r="CX108" s="191"/>
      <c r="CY108" s="191"/>
      <c r="CZ108" s="191"/>
      <c r="DA108" s="191"/>
      <c r="DB108" s="191"/>
      <c r="DC108" s="191"/>
      <c r="DD108" s="191"/>
      <c r="DE108" s="191"/>
      <c r="DF108" s="191"/>
      <c r="DG108" s="191"/>
      <c r="DH108" s="191"/>
      <c r="DI108" s="191"/>
      <c r="DJ108" s="191"/>
      <c r="DK108" s="191"/>
    </row>
    <row r="109" customFormat="false" ht="11.25" hidden="false" customHeight="true" outlineLevel="0" collapsed="false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185" t="s">
        <v>309</v>
      </c>
      <c r="L109" s="185"/>
      <c r="M109" s="189"/>
      <c r="N109" s="188"/>
      <c r="O109" s="185" t="s">
        <v>30</v>
      </c>
      <c r="P109" s="189"/>
      <c r="Q109" s="185"/>
      <c r="R109" s="190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1"/>
      <c r="CX109" s="191"/>
      <c r="CY109" s="191"/>
      <c r="CZ109" s="191"/>
      <c r="DA109" s="191"/>
      <c r="DB109" s="191"/>
      <c r="DC109" s="191"/>
      <c r="DD109" s="191"/>
      <c r="DE109" s="191"/>
      <c r="DF109" s="191"/>
      <c r="DG109" s="191"/>
      <c r="DH109" s="191"/>
      <c r="DI109" s="191"/>
      <c r="DJ109" s="191"/>
      <c r="DK109" s="191"/>
    </row>
    <row r="110" customFormat="false" ht="11.25" hidden="false" customHeight="true" outlineLevel="0" collapsed="false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185" t="s">
        <v>310</v>
      </c>
      <c r="L110" s="185"/>
      <c r="M110" s="189"/>
      <c r="N110" s="188"/>
      <c r="O110" s="185" t="s">
        <v>309</v>
      </c>
      <c r="P110" s="189"/>
      <c r="Q110" s="185"/>
      <c r="R110" s="190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191"/>
      <c r="CA110" s="191"/>
      <c r="CB110" s="191"/>
      <c r="CC110" s="191"/>
      <c r="CD110" s="191"/>
      <c r="CE110" s="191"/>
      <c r="CF110" s="191"/>
      <c r="CG110" s="191"/>
      <c r="CH110" s="191"/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  <c r="CV110" s="191"/>
      <c r="CW110" s="191"/>
      <c r="CX110" s="191"/>
      <c r="CY110" s="191"/>
      <c r="CZ110" s="191"/>
      <c r="DA110" s="191"/>
      <c r="DB110" s="191"/>
      <c r="DC110" s="191"/>
      <c r="DD110" s="191"/>
      <c r="DE110" s="191"/>
      <c r="DF110" s="191"/>
      <c r="DG110" s="191"/>
      <c r="DH110" s="191"/>
      <c r="DI110" s="191"/>
      <c r="DJ110" s="191"/>
      <c r="DK110" s="191"/>
    </row>
    <row r="111" customFormat="false" ht="11.25" hidden="false" customHeight="true" outlineLevel="0" collapsed="false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189" t="s">
        <v>311</v>
      </c>
      <c r="L111" s="185"/>
      <c r="M111" s="189"/>
      <c r="N111" s="188"/>
      <c r="O111" s="185" t="s">
        <v>310</v>
      </c>
      <c r="P111" s="189"/>
      <c r="Q111" s="185"/>
      <c r="R111" s="190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191"/>
      <c r="CA111" s="191"/>
      <c r="CB111" s="191"/>
      <c r="CC111" s="191"/>
      <c r="CD111" s="191"/>
      <c r="CE111" s="191"/>
      <c r="CF111" s="191"/>
      <c r="CG111" s="191"/>
      <c r="CH111" s="191"/>
      <c r="CI111" s="191"/>
      <c r="CJ111" s="191"/>
      <c r="CK111" s="191"/>
      <c r="CL111" s="191"/>
      <c r="CM111" s="191"/>
      <c r="CN111" s="191"/>
      <c r="CO111" s="191"/>
      <c r="CP111" s="191"/>
      <c r="CQ111" s="191"/>
      <c r="CR111" s="191"/>
      <c r="CS111" s="191"/>
      <c r="CT111" s="191"/>
      <c r="CU111" s="191"/>
      <c r="CV111" s="191"/>
      <c r="CW111" s="191"/>
      <c r="CX111" s="191"/>
      <c r="CY111" s="191"/>
      <c r="CZ111" s="191"/>
      <c r="DA111" s="191"/>
      <c r="DB111" s="191"/>
      <c r="DC111" s="191"/>
      <c r="DD111" s="191"/>
      <c r="DE111" s="191"/>
      <c r="DF111" s="191"/>
      <c r="DG111" s="191"/>
      <c r="DH111" s="191"/>
      <c r="DI111" s="191"/>
      <c r="DJ111" s="191"/>
      <c r="DK111" s="191"/>
    </row>
    <row r="112" customFormat="false" ht="11.25" hidden="false" customHeight="true" outlineLevel="0" collapsed="false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189" t="s">
        <v>40</v>
      </c>
      <c r="L112" s="185"/>
      <c r="M112" s="189"/>
      <c r="N112" s="188"/>
      <c r="O112" s="189" t="s">
        <v>311</v>
      </c>
      <c r="P112" s="189"/>
      <c r="Q112" s="185"/>
      <c r="R112" s="190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  <c r="BR112" s="191"/>
      <c r="BS112" s="191"/>
      <c r="BT112" s="191"/>
      <c r="BU112" s="191"/>
      <c r="BV112" s="191"/>
      <c r="BW112" s="191"/>
      <c r="BX112" s="191"/>
      <c r="BY112" s="191"/>
      <c r="BZ112" s="191"/>
      <c r="CA112" s="191"/>
      <c r="CB112" s="191"/>
      <c r="CC112" s="191"/>
      <c r="CD112" s="191"/>
      <c r="CE112" s="191"/>
      <c r="CF112" s="191"/>
      <c r="CG112" s="191"/>
      <c r="CH112" s="191"/>
      <c r="CI112" s="191"/>
      <c r="CJ112" s="191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1"/>
      <c r="CY112" s="191"/>
      <c r="CZ112" s="191"/>
      <c r="DA112" s="191"/>
      <c r="DB112" s="191"/>
      <c r="DC112" s="191"/>
      <c r="DD112" s="191"/>
      <c r="DE112" s="191"/>
      <c r="DF112" s="191"/>
      <c r="DG112" s="191"/>
      <c r="DH112" s="191"/>
      <c r="DI112" s="191"/>
      <c r="DJ112" s="191"/>
      <c r="DK112" s="191"/>
    </row>
    <row r="113" customFormat="false" ht="11.25" hidden="false" customHeight="true" outlineLevel="0" collapsed="false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189" t="s">
        <v>20</v>
      </c>
      <c r="L113" s="185"/>
      <c r="M113" s="189"/>
      <c r="N113" s="188"/>
      <c r="O113" s="189" t="s">
        <v>40</v>
      </c>
      <c r="P113" s="189"/>
      <c r="Q113" s="185"/>
      <c r="R113" s="190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1"/>
      <c r="CC113" s="191"/>
      <c r="CD113" s="191"/>
      <c r="CE113" s="191"/>
      <c r="CF113" s="191"/>
      <c r="CG113" s="191"/>
      <c r="CH113" s="191"/>
      <c r="CI113" s="191"/>
      <c r="CJ113" s="191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1"/>
      <c r="CV113" s="191"/>
      <c r="CW113" s="191"/>
      <c r="CX113" s="191"/>
      <c r="CY113" s="191"/>
      <c r="CZ113" s="191"/>
      <c r="DA113" s="191"/>
      <c r="DB113" s="191"/>
      <c r="DC113" s="191"/>
      <c r="DD113" s="191"/>
      <c r="DE113" s="191"/>
      <c r="DF113" s="191"/>
      <c r="DG113" s="191"/>
      <c r="DH113" s="191"/>
      <c r="DI113" s="191"/>
      <c r="DJ113" s="191"/>
      <c r="DK113" s="191"/>
    </row>
    <row r="114" customFormat="false" ht="11.25" hidden="false" customHeight="true" outlineLevel="0" collapsed="false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189" t="s">
        <v>312</v>
      </c>
      <c r="L114" s="185"/>
      <c r="M114" s="189"/>
      <c r="N114" s="188"/>
      <c r="O114" s="189" t="s">
        <v>20</v>
      </c>
      <c r="P114" s="189"/>
      <c r="Q114" s="185"/>
      <c r="R114" s="190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  <c r="CV114" s="191"/>
      <c r="CW114" s="191"/>
      <c r="CX114" s="191"/>
      <c r="CY114" s="191"/>
      <c r="CZ114" s="191"/>
      <c r="DA114" s="191"/>
      <c r="DB114" s="191"/>
      <c r="DC114" s="191"/>
      <c r="DD114" s="191"/>
      <c r="DE114" s="191"/>
      <c r="DF114" s="191"/>
      <c r="DG114" s="191"/>
      <c r="DH114" s="191"/>
      <c r="DI114" s="191"/>
      <c r="DJ114" s="191"/>
      <c r="DK114" s="191"/>
    </row>
    <row r="115" customFormat="false" ht="11.25" hidden="false" customHeight="true" outlineLevel="0" collapsed="false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189" t="s">
        <v>6</v>
      </c>
      <c r="L115" s="185"/>
      <c r="M115" s="189"/>
      <c r="N115" s="188"/>
      <c r="O115" s="189" t="s">
        <v>312</v>
      </c>
      <c r="P115" s="189"/>
      <c r="Q115" s="185"/>
      <c r="R115" s="190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</row>
    <row r="116" customFormat="false" ht="11.25" hidden="false" customHeight="true" outlineLevel="0" collapsed="false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189" t="s">
        <v>313</v>
      </c>
      <c r="L116" s="185"/>
      <c r="M116" s="189"/>
      <c r="N116" s="188"/>
      <c r="O116" s="189" t="s">
        <v>6</v>
      </c>
      <c r="P116" s="189"/>
      <c r="Q116" s="185"/>
      <c r="R116" s="190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</row>
    <row r="117" customFormat="false" ht="11.25" hidden="false" customHeight="true" outlineLevel="0" collapsed="false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189" t="s">
        <v>314</v>
      </c>
      <c r="L117" s="185"/>
      <c r="M117" s="189"/>
      <c r="N117" s="188"/>
      <c r="O117" s="189" t="s">
        <v>313</v>
      </c>
      <c r="P117" s="189"/>
      <c r="Q117" s="185"/>
      <c r="R117" s="190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</row>
    <row r="118" customFormat="false" ht="11.25" hidden="false" customHeight="true" outlineLevel="0" collapsed="false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189" t="s">
        <v>315</v>
      </c>
      <c r="L118" s="185"/>
      <c r="M118" s="189"/>
      <c r="N118" s="188"/>
      <c r="O118" s="189" t="s">
        <v>314</v>
      </c>
      <c r="P118" s="189"/>
      <c r="Q118" s="185"/>
      <c r="R118" s="190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</row>
    <row r="119" customFormat="false" ht="11.25" hidden="false" customHeight="true" outlineLevel="0" collapsed="false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189" t="s">
        <v>316</v>
      </c>
      <c r="L119" s="185"/>
      <c r="M119" s="189"/>
      <c r="N119" s="188"/>
      <c r="O119" s="189" t="s">
        <v>315</v>
      </c>
      <c r="P119" s="189"/>
      <c r="Q119" s="185"/>
      <c r="R119" s="190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</row>
    <row r="120" customFormat="false" ht="11.25" hidden="false" customHeight="true" outlineLevel="0" collapsed="false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189" t="s">
        <v>317</v>
      </c>
      <c r="L120" s="185"/>
      <c r="M120" s="189"/>
      <c r="N120" s="188"/>
      <c r="O120" s="189" t="s">
        <v>316</v>
      </c>
      <c r="P120" s="189"/>
      <c r="Q120" s="185"/>
      <c r="R120" s="190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</row>
    <row r="121" customFormat="false" ht="11.25" hidden="false" customHeight="true" outlineLevel="0" collapsed="false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189" t="s">
        <v>318</v>
      </c>
      <c r="L121" s="185"/>
      <c r="M121" s="189"/>
      <c r="N121" s="188"/>
      <c r="O121" s="189" t="s">
        <v>317</v>
      </c>
      <c r="P121" s="189"/>
      <c r="Q121" s="185"/>
      <c r="R121" s="190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191"/>
      <c r="CA121" s="191"/>
      <c r="CB121" s="191"/>
      <c r="CC121" s="191"/>
      <c r="CD121" s="191"/>
      <c r="CE121" s="191"/>
      <c r="CF121" s="191"/>
      <c r="CG121" s="191"/>
      <c r="CH121" s="191"/>
      <c r="CI121" s="191"/>
      <c r="CJ121" s="191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  <c r="CV121" s="191"/>
      <c r="CW121" s="191"/>
      <c r="CX121" s="191"/>
      <c r="CY121" s="191"/>
      <c r="CZ121" s="191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</row>
    <row r="122" customFormat="false" ht="11.25" hidden="false" customHeight="true" outlineLevel="0" collapsed="false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189" t="s">
        <v>319</v>
      </c>
      <c r="L122" s="185"/>
      <c r="M122" s="189"/>
      <c r="N122" s="188"/>
      <c r="O122" s="189" t="s">
        <v>318</v>
      </c>
      <c r="P122" s="189"/>
      <c r="Q122" s="185"/>
      <c r="R122" s="190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</row>
    <row r="123" customFormat="false" ht="11.25" hidden="false" customHeight="true" outlineLevel="0" collapsed="false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189" t="s">
        <v>320</v>
      </c>
      <c r="L123" s="185"/>
      <c r="M123" s="189"/>
      <c r="N123" s="188"/>
      <c r="O123" s="189" t="s">
        <v>319</v>
      </c>
      <c r="P123" s="189"/>
      <c r="Q123" s="185"/>
      <c r="R123" s="190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191"/>
    </row>
    <row r="124" customFormat="false" ht="11.25" hidden="false" customHeight="true" outlineLevel="0" collapsed="false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189" t="s">
        <v>321</v>
      </c>
      <c r="L124" s="185"/>
      <c r="M124" s="189"/>
      <c r="N124" s="188"/>
      <c r="O124" s="189" t="s">
        <v>320</v>
      </c>
      <c r="P124" s="189"/>
      <c r="Q124" s="185"/>
      <c r="R124" s="190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</row>
    <row r="125" customFormat="false" ht="11.25" hidden="false" customHeight="true" outlineLevel="0" collapsed="false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189" t="s">
        <v>322</v>
      </c>
      <c r="L125" s="185"/>
      <c r="M125" s="189"/>
      <c r="N125" s="188"/>
      <c r="O125" s="189" t="s">
        <v>321</v>
      </c>
      <c r="P125" s="189"/>
      <c r="Q125" s="185"/>
      <c r="R125" s="190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  <c r="BR125" s="191"/>
      <c r="BS125" s="191"/>
      <c r="BT125" s="191"/>
      <c r="BU125" s="191"/>
      <c r="BV125" s="191"/>
      <c r="BW125" s="191"/>
      <c r="BX125" s="191"/>
      <c r="BY125" s="191"/>
      <c r="BZ125" s="191"/>
      <c r="CA125" s="191"/>
      <c r="CB125" s="191"/>
      <c r="CC125" s="191"/>
      <c r="CD125" s="191"/>
      <c r="CE125" s="191"/>
      <c r="CF125" s="191"/>
      <c r="CG125" s="191"/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  <c r="CV125" s="191"/>
      <c r="CW125" s="191"/>
      <c r="CX125" s="191"/>
      <c r="CY125" s="191"/>
      <c r="CZ125" s="191"/>
      <c r="DA125" s="191"/>
      <c r="DB125" s="191"/>
      <c r="DC125" s="191"/>
      <c r="DD125" s="191"/>
      <c r="DE125" s="191"/>
      <c r="DF125" s="191"/>
      <c r="DG125" s="191"/>
      <c r="DH125" s="191"/>
      <c r="DI125" s="191"/>
      <c r="DJ125" s="191"/>
      <c r="DK125" s="191"/>
    </row>
    <row r="126" customFormat="false" ht="11.25" hidden="false" customHeight="true" outlineLevel="0" collapsed="false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189" t="s">
        <v>323</v>
      </c>
      <c r="L126" s="185"/>
      <c r="M126" s="189"/>
      <c r="N126" s="188"/>
      <c r="O126" s="189" t="s">
        <v>322</v>
      </c>
      <c r="P126" s="189"/>
      <c r="Q126" s="185"/>
      <c r="R126" s="190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  <c r="BR126" s="191"/>
      <c r="BS126" s="191"/>
      <c r="BT126" s="191"/>
      <c r="BU126" s="191"/>
      <c r="BV126" s="191"/>
      <c r="BW126" s="191"/>
      <c r="BX126" s="191"/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  <c r="CV126" s="191"/>
      <c r="CW126" s="191"/>
      <c r="CX126" s="191"/>
      <c r="CY126" s="191"/>
      <c r="CZ126" s="191"/>
      <c r="DA126" s="191"/>
      <c r="DB126" s="191"/>
      <c r="DC126" s="191"/>
      <c r="DD126" s="191"/>
      <c r="DE126" s="191"/>
      <c r="DF126" s="191"/>
      <c r="DG126" s="191"/>
      <c r="DH126" s="191"/>
      <c r="DI126" s="191"/>
      <c r="DJ126" s="191"/>
      <c r="DK126" s="191"/>
    </row>
    <row r="127" customFormat="false" ht="11.25" hidden="false" customHeight="true" outlineLevel="0" collapsed="false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189" t="s">
        <v>324</v>
      </c>
      <c r="L127" s="185"/>
      <c r="M127" s="189"/>
      <c r="N127" s="188"/>
      <c r="O127" s="189" t="s">
        <v>323</v>
      </c>
      <c r="P127" s="189"/>
      <c r="Q127" s="191"/>
      <c r="R127" s="194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</row>
    <row r="128" customFormat="false" ht="11.25" hidden="false" customHeight="true" outlineLevel="0" collapsed="false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189" t="s">
        <v>14</v>
      </c>
      <c r="L128" s="191"/>
      <c r="M128" s="189"/>
      <c r="N128" s="188"/>
      <c r="O128" s="189" t="s">
        <v>324</v>
      </c>
      <c r="P128" s="189"/>
      <c r="Q128" s="191"/>
      <c r="R128" s="194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</row>
    <row r="129" customFormat="false" ht="11.25" hidden="false" customHeight="true" outlineLevel="0" collapsed="false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189" t="s">
        <v>325</v>
      </c>
      <c r="L129" s="191"/>
      <c r="M129" s="189"/>
      <c r="N129" s="188"/>
      <c r="O129" s="189" t="s">
        <v>14</v>
      </c>
      <c r="P129" s="189"/>
      <c r="Q129" s="191"/>
      <c r="R129" s="194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  <c r="BR129" s="191"/>
      <c r="BS129" s="191"/>
      <c r="BT129" s="191"/>
      <c r="BU129" s="191"/>
      <c r="BV129" s="191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191"/>
      <c r="CX129" s="191"/>
      <c r="CY129" s="191"/>
      <c r="CZ129" s="191"/>
      <c r="DA129" s="191"/>
      <c r="DB129" s="191"/>
      <c r="DC129" s="191"/>
      <c r="DD129" s="191"/>
      <c r="DE129" s="191"/>
      <c r="DF129" s="191"/>
      <c r="DG129" s="191"/>
      <c r="DH129" s="191"/>
      <c r="DI129" s="191"/>
      <c r="DJ129" s="191"/>
      <c r="DK129" s="191"/>
    </row>
    <row r="130" customFormat="false" ht="11.25" hidden="false" customHeight="true" outlineLevel="0" collapsed="false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189" t="s">
        <v>326</v>
      </c>
      <c r="L130" s="191"/>
      <c r="M130" s="189"/>
      <c r="N130" s="188"/>
      <c r="O130" s="189" t="s">
        <v>325</v>
      </c>
      <c r="P130" s="189"/>
      <c r="Q130" s="191"/>
      <c r="R130" s="194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</row>
    <row r="131" customFormat="false" ht="11.25" hidden="false" customHeight="true" outlineLevel="0" collapsed="false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189" t="s">
        <v>327</v>
      </c>
      <c r="L131" s="191"/>
      <c r="M131" s="189"/>
      <c r="N131" s="188"/>
      <c r="O131" s="189" t="s">
        <v>326</v>
      </c>
      <c r="P131" s="189"/>
      <c r="Q131" s="191"/>
      <c r="R131" s="194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</row>
    <row r="132" customFormat="false" ht="11.25" hidden="false" customHeight="true" outlineLevel="0" collapsed="false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189" t="s">
        <v>328</v>
      </c>
      <c r="L132" s="191"/>
      <c r="M132" s="189"/>
      <c r="N132" s="188"/>
      <c r="O132" s="189" t="s">
        <v>327</v>
      </c>
      <c r="P132" s="189"/>
      <c r="Q132" s="191"/>
      <c r="R132" s="194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191"/>
      <c r="CI132" s="191"/>
      <c r="CJ132" s="191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1"/>
      <c r="CV132" s="191"/>
      <c r="CW132" s="191"/>
      <c r="CX132" s="191"/>
      <c r="CY132" s="191"/>
      <c r="CZ132" s="191"/>
      <c r="DA132" s="191"/>
      <c r="DB132" s="191"/>
      <c r="DC132" s="191"/>
      <c r="DD132" s="191"/>
      <c r="DE132" s="191"/>
      <c r="DF132" s="191"/>
      <c r="DG132" s="191"/>
      <c r="DH132" s="191"/>
      <c r="DI132" s="191"/>
      <c r="DJ132" s="191"/>
      <c r="DK132" s="191"/>
    </row>
    <row r="133" customFormat="false" ht="11.25" hidden="false" customHeight="true" outlineLevel="0" collapsed="false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189" t="s">
        <v>329</v>
      </c>
      <c r="L133" s="191"/>
      <c r="M133" s="189"/>
      <c r="N133" s="188"/>
      <c r="O133" s="189" t="s">
        <v>328</v>
      </c>
      <c r="P133" s="189"/>
      <c r="Q133" s="191"/>
      <c r="R133" s="194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1"/>
      <c r="CV133" s="191"/>
      <c r="CW133" s="191"/>
      <c r="CX133" s="191"/>
      <c r="CY133" s="191"/>
      <c r="CZ133" s="191"/>
      <c r="DA133" s="191"/>
      <c r="DB133" s="191"/>
      <c r="DC133" s="191"/>
      <c r="DD133" s="191"/>
      <c r="DE133" s="191"/>
      <c r="DF133" s="191"/>
      <c r="DG133" s="191"/>
      <c r="DH133" s="191"/>
      <c r="DI133" s="191"/>
      <c r="DJ133" s="191"/>
      <c r="DK133" s="191"/>
    </row>
    <row r="134" customFormat="false" ht="11.25" hidden="false" customHeight="true" outlineLevel="0" collapsed="false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189" t="s">
        <v>43</v>
      </c>
      <c r="L134" s="191"/>
      <c r="M134" s="189"/>
      <c r="N134" s="188"/>
      <c r="O134" s="189" t="s">
        <v>329</v>
      </c>
      <c r="P134" s="189"/>
      <c r="Q134" s="191"/>
      <c r="R134" s="194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1"/>
      <c r="CV134" s="191"/>
      <c r="CW134" s="191"/>
      <c r="CX134" s="191"/>
      <c r="CY134" s="191"/>
      <c r="CZ134" s="191"/>
      <c r="DA134" s="191"/>
      <c r="DB134" s="191"/>
      <c r="DC134" s="191"/>
      <c r="DD134" s="191"/>
      <c r="DE134" s="191"/>
      <c r="DF134" s="191"/>
      <c r="DG134" s="191"/>
      <c r="DH134" s="191"/>
      <c r="DI134" s="191"/>
      <c r="DJ134" s="191"/>
      <c r="DK134" s="191"/>
    </row>
    <row r="135" customFormat="false" ht="11.25" hidden="false" customHeight="true" outlineLevel="0" collapsed="false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189" t="s">
        <v>330</v>
      </c>
      <c r="L135" s="191"/>
      <c r="M135" s="189"/>
      <c r="N135" s="188"/>
      <c r="O135" s="189" t="s">
        <v>43</v>
      </c>
      <c r="P135" s="189"/>
      <c r="Q135" s="191"/>
      <c r="R135" s="194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  <c r="CV135" s="191"/>
      <c r="CW135" s="191"/>
      <c r="CX135" s="191"/>
      <c r="CY135" s="191"/>
      <c r="CZ135" s="191"/>
      <c r="DA135" s="191"/>
      <c r="DB135" s="191"/>
      <c r="DC135" s="191"/>
      <c r="DD135" s="191"/>
      <c r="DE135" s="191"/>
      <c r="DF135" s="191"/>
      <c r="DG135" s="191"/>
      <c r="DH135" s="191"/>
      <c r="DI135" s="191"/>
      <c r="DJ135" s="191"/>
      <c r="DK135" s="191"/>
    </row>
    <row r="136" customFormat="false" ht="11.25" hidden="false" customHeight="true" outlineLevel="0" collapsed="false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189" t="s">
        <v>331</v>
      </c>
      <c r="L136" s="191"/>
      <c r="M136" s="189"/>
      <c r="N136" s="188"/>
      <c r="O136" s="189" t="s">
        <v>330</v>
      </c>
      <c r="P136" s="189"/>
      <c r="Q136" s="191"/>
      <c r="R136" s="194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</row>
    <row r="137" customFormat="false" ht="11.25" hidden="false" customHeight="true" outlineLevel="0" collapsed="false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189" t="s">
        <v>332</v>
      </c>
      <c r="L137" s="191"/>
      <c r="M137" s="189"/>
      <c r="N137" s="188"/>
      <c r="O137" s="189" t="s">
        <v>331</v>
      </c>
      <c r="P137" s="189"/>
      <c r="Q137" s="191"/>
      <c r="R137" s="194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</row>
    <row r="138" customFormat="false" ht="11.25" hidden="false" customHeight="true" outlineLevel="0" collapsed="false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189" t="s">
        <v>46</v>
      </c>
      <c r="L138" s="191"/>
      <c r="M138" s="189"/>
      <c r="N138" s="188"/>
      <c r="O138" s="189" t="s">
        <v>332</v>
      </c>
      <c r="P138" s="189"/>
      <c r="Q138" s="191"/>
      <c r="R138" s="194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</row>
    <row r="139" customFormat="false" ht="11.25" hidden="false" customHeight="true" outlineLevel="0" collapsed="false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189" t="s">
        <v>49</v>
      </c>
      <c r="L139" s="191"/>
      <c r="M139" s="189"/>
      <c r="N139" s="188"/>
      <c r="O139" s="189" t="s">
        <v>46</v>
      </c>
      <c r="P139" s="189"/>
      <c r="Q139" s="191"/>
      <c r="R139" s="194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</row>
    <row r="140" customFormat="false" ht="11.25" hidden="false" customHeight="true" outlineLevel="0" collapsed="false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189" t="s">
        <v>333</v>
      </c>
      <c r="L140" s="191"/>
      <c r="M140" s="189"/>
      <c r="N140" s="188"/>
      <c r="O140" s="189" t="s">
        <v>49</v>
      </c>
      <c r="P140" s="189"/>
      <c r="Q140" s="191"/>
      <c r="R140" s="194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</row>
    <row r="141" customFormat="false" ht="11.25" hidden="false" customHeight="true" outlineLevel="0" collapsed="false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189" t="s">
        <v>334</v>
      </c>
      <c r="L141" s="191"/>
      <c r="M141" s="189"/>
      <c r="N141" s="188"/>
      <c r="O141" s="189" t="s">
        <v>333</v>
      </c>
      <c r="P141" s="189"/>
      <c r="Q141" s="191"/>
      <c r="R141" s="194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  <c r="DB141" s="191"/>
      <c r="DC141" s="191"/>
      <c r="DD141" s="191"/>
      <c r="DE141" s="191"/>
      <c r="DF141" s="191"/>
      <c r="DG141" s="191"/>
      <c r="DH141" s="191"/>
      <c r="DI141" s="191"/>
      <c r="DJ141" s="191"/>
      <c r="DK141" s="191"/>
    </row>
    <row r="142" customFormat="false" ht="11.25" hidden="false" customHeight="true" outlineLevel="0" collapsed="false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189" t="s">
        <v>335</v>
      </c>
      <c r="L142" s="191"/>
      <c r="M142" s="189"/>
      <c r="N142" s="188"/>
      <c r="O142" s="189" t="s">
        <v>334</v>
      </c>
      <c r="P142" s="189"/>
      <c r="Q142" s="191"/>
      <c r="R142" s="194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</row>
    <row r="143" customFormat="false" ht="11.25" hidden="false" customHeight="true" outlineLevel="0" collapsed="false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189" t="s">
        <v>336</v>
      </c>
      <c r="L143" s="191"/>
      <c r="M143" s="189"/>
      <c r="N143" s="188"/>
      <c r="O143" s="189" t="s">
        <v>335</v>
      </c>
      <c r="P143" s="189"/>
      <c r="Q143" s="191"/>
      <c r="R143" s="194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1"/>
      <c r="BT143" s="191"/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1"/>
      <c r="DB143" s="191"/>
      <c r="DC143" s="191"/>
      <c r="DD143" s="191"/>
      <c r="DE143" s="191"/>
      <c r="DF143" s="191"/>
      <c r="DG143" s="191"/>
      <c r="DH143" s="191"/>
      <c r="DI143" s="191"/>
      <c r="DJ143" s="191"/>
      <c r="DK143" s="191"/>
    </row>
    <row r="144" customFormat="false" ht="11.25" hidden="false" customHeight="true" outlineLevel="0" collapsed="false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189" t="s">
        <v>337</v>
      </c>
      <c r="L144" s="191"/>
      <c r="M144" s="189"/>
      <c r="N144" s="188"/>
      <c r="O144" s="189" t="s">
        <v>336</v>
      </c>
      <c r="P144" s="189"/>
      <c r="Q144" s="191"/>
      <c r="R144" s="194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</row>
    <row r="145" customFormat="false" ht="11.25" hidden="false" customHeight="true" outlineLevel="0" collapsed="false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189" t="s">
        <v>338</v>
      </c>
      <c r="L145" s="191"/>
      <c r="M145" s="189"/>
      <c r="N145" s="188"/>
      <c r="O145" s="189" t="s">
        <v>337</v>
      </c>
      <c r="P145" s="189"/>
      <c r="Q145" s="191"/>
      <c r="R145" s="194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  <c r="CV145" s="191"/>
      <c r="CW145" s="191"/>
      <c r="CX145" s="191"/>
      <c r="CY145" s="191"/>
      <c r="CZ145" s="191"/>
      <c r="DA145" s="191"/>
      <c r="DB145" s="191"/>
      <c r="DC145" s="191"/>
      <c r="DD145" s="191"/>
      <c r="DE145" s="191"/>
      <c r="DF145" s="191"/>
      <c r="DG145" s="191"/>
      <c r="DH145" s="191"/>
      <c r="DI145" s="191"/>
      <c r="DJ145" s="191"/>
      <c r="DK145" s="191"/>
    </row>
    <row r="146" customFormat="false" ht="11.25" hidden="false" customHeight="true" outlineLevel="0" collapsed="false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189" t="s">
        <v>339</v>
      </c>
      <c r="L146" s="191"/>
      <c r="M146" s="189"/>
      <c r="N146" s="188"/>
      <c r="O146" s="189" t="s">
        <v>338</v>
      </c>
      <c r="P146" s="189"/>
      <c r="Q146" s="191"/>
      <c r="R146" s="194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</row>
    <row r="147" customFormat="false" ht="11.25" hidden="false" customHeight="true" outlineLevel="0" collapsed="false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189" t="s">
        <v>340</v>
      </c>
      <c r="L147" s="191"/>
      <c r="M147" s="189"/>
      <c r="N147" s="188"/>
      <c r="O147" s="189" t="s">
        <v>339</v>
      </c>
      <c r="P147" s="189"/>
      <c r="Q147" s="191"/>
      <c r="R147" s="194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191"/>
    </row>
    <row r="148" customFormat="false" ht="11.25" hidden="false" customHeight="true" outlineLevel="0" collapsed="false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189" t="s">
        <v>341</v>
      </c>
      <c r="L148" s="191"/>
      <c r="M148" s="189"/>
      <c r="N148" s="188"/>
      <c r="O148" s="189" t="s">
        <v>340</v>
      </c>
      <c r="P148" s="189"/>
      <c r="Q148" s="191"/>
      <c r="R148" s="194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  <c r="CV148" s="191"/>
      <c r="CW148" s="191"/>
      <c r="CX148" s="191"/>
      <c r="CY148" s="191"/>
      <c r="CZ148" s="191"/>
      <c r="DA148" s="191"/>
      <c r="DB148" s="191"/>
      <c r="DC148" s="191"/>
      <c r="DD148" s="191"/>
      <c r="DE148" s="191"/>
      <c r="DF148" s="191"/>
      <c r="DG148" s="191"/>
      <c r="DH148" s="191"/>
      <c r="DI148" s="191"/>
      <c r="DJ148" s="191"/>
      <c r="DK148" s="191"/>
    </row>
    <row r="149" customFormat="false" ht="11.25" hidden="false" customHeight="true" outlineLevel="0" collapsed="false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189" t="s">
        <v>342</v>
      </c>
      <c r="L149" s="191"/>
      <c r="M149" s="189"/>
      <c r="N149" s="188"/>
      <c r="O149" s="189" t="s">
        <v>341</v>
      </c>
      <c r="P149" s="189"/>
      <c r="Q149" s="191"/>
      <c r="R149" s="194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</row>
    <row r="150" customFormat="false" ht="11.25" hidden="false" customHeight="true" outlineLevel="0" collapsed="false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189" t="s">
        <v>343</v>
      </c>
      <c r="L150" s="191"/>
      <c r="M150" s="189"/>
      <c r="N150" s="188"/>
      <c r="O150" s="189" t="s">
        <v>342</v>
      </c>
      <c r="P150" s="189"/>
      <c r="Q150" s="191"/>
      <c r="R150" s="194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</row>
    <row r="151" customFormat="false" ht="11.25" hidden="false" customHeight="true" outlineLevel="0" collapsed="false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189" t="s">
        <v>344</v>
      </c>
      <c r="L151" s="191"/>
      <c r="M151" s="189"/>
      <c r="N151" s="188"/>
      <c r="O151" s="189" t="s">
        <v>343</v>
      </c>
      <c r="P151" s="189"/>
      <c r="Q151" s="191"/>
      <c r="R151" s="194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1"/>
      <c r="CJ151" s="191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  <c r="CV151" s="191"/>
      <c r="CW151" s="191"/>
      <c r="CX151" s="191"/>
      <c r="CY151" s="191"/>
      <c r="CZ151" s="191"/>
      <c r="DA151" s="191"/>
      <c r="DB151" s="191"/>
      <c r="DC151" s="191"/>
      <c r="DD151" s="191"/>
      <c r="DE151" s="191"/>
      <c r="DF151" s="191"/>
      <c r="DG151" s="191"/>
      <c r="DH151" s="191"/>
      <c r="DI151" s="191"/>
      <c r="DJ151" s="191"/>
      <c r="DK151" s="191"/>
    </row>
    <row r="152" customFormat="false" ht="11.25" hidden="false" customHeight="true" outlineLevel="0" collapsed="false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189" t="s">
        <v>345</v>
      </c>
      <c r="L152" s="191"/>
      <c r="M152" s="189"/>
      <c r="N152" s="188"/>
      <c r="O152" s="189" t="s">
        <v>344</v>
      </c>
      <c r="P152" s="189"/>
      <c r="Q152" s="191"/>
      <c r="R152" s="194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  <c r="CV152" s="191"/>
      <c r="CW152" s="191"/>
      <c r="CX152" s="191"/>
      <c r="CY152" s="191"/>
      <c r="CZ152" s="191"/>
      <c r="DA152" s="191"/>
      <c r="DB152" s="191"/>
      <c r="DC152" s="191"/>
      <c r="DD152" s="191"/>
      <c r="DE152" s="191"/>
      <c r="DF152" s="191"/>
      <c r="DG152" s="191"/>
      <c r="DH152" s="191"/>
      <c r="DI152" s="191"/>
      <c r="DJ152" s="191"/>
      <c r="DK152" s="191"/>
    </row>
    <row r="153" customFormat="false" ht="11.25" hidden="false" customHeight="true" outlineLevel="0" collapsed="false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189" t="s">
        <v>346</v>
      </c>
      <c r="L153" s="191"/>
      <c r="M153" s="189"/>
      <c r="N153" s="188"/>
      <c r="O153" s="189" t="s">
        <v>345</v>
      </c>
      <c r="P153" s="189"/>
      <c r="Q153" s="191"/>
      <c r="R153" s="194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  <c r="CV153" s="191"/>
      <c r="CW153" s="191"/>
      <c r="CX153" s="191"/>
      <c r="CY153" s="191"/>
      <c r="CZ153" s="191"/>
      <c r="DA153" s="191"/>
      <c r="DB153" s="191"/>
      <c r="DC153" s="191"/>
      <c r="DD153" s="191"/>
      <c r="DE153" s="191"/>
      <c r="DF153" s="191"/>
      <c r="DG153" s="191"/>
      <c r="DH153" s="191"/>
      <c r="DI153" s="191"/>
      <c r="DJ153" s="191"/>
      <c r="DK153" s="191"/>
    </row>
    <row r="154" customFormat="false" ht="11.25" hidden="false" customHeight="true" outlineLevel="0" collapsed="false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189" t="s">
        <v>347</v>
      </c>
      <c r="L154" s="191"/>
      <c r="M154" s="189"/>
      <c r="N154" s="188"/>
      <c r="O154" s="189" t="s">
        <v>346</v>
      </c>
      <c r="P154" s="189"/>
      <c r="Q154" s="191"/>
      <c r="R154" s="194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</row>
    <row r="155" customFormat="false" ht="11.25" hidden="false" customHeight="true" outlineLevel="0" collapsed="false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189" t="s">
        <v>348</v>
      </c>
      <c r="L155" s="191"/>
      <c r="M155" s="189"/>
      <c r="N155" s="188"/>
      <c r="O155" s="189" t="s">
        <v>347</v>
      </c>
      <c r="P155" s="189"/>
      <c r="Q155" s="191"/>
      <c r="R155" s="194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  <c r="CV155" s="191"/>
      <c r="CW155" s="191"/>
      <c r="CX155" s="191"/>
      <c r="CY155" s="191"/>
      <c r="CZ155" s="191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</row>
    <row r="156" customFormat="false" ht="11.25" hidden="false" customHeight="true" outlineLevel="0" collapsed="false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189" t="s">
        <v>349</v>
      </c>
      <c r="L156" s="191"/>
      <c r="M156" s="189"/>
      <c r="N156" s="188"/>
      <c r="O156" s="189" t="s">
        <v>348</v>
      </c>
      <c r="P156" s="189"/>
      <c r="Q156" s="191"/>
      <c r="R156" s="194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</row>
    <row r="157" customFormat="false" ht="11.25" hidden="false" customHeight="true" outlineLevel="0" collapsed="false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189" t="s">
        <v>350</v>
      </c>
      <c r="L157" s="191"/>
      <c r="M157" s="189"/>
      <c r="N157" s="188"/>
      <c r="O157" s="189" t="s">
        <v>349</v>
      </c>
      <c r="P157" s="189"/>
      <c r="Q157" s="191"/>
      <c r="R157" s="194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  <c r="BR157" s="191"/>
      <c r="BS157" s="191"/>
      <c r="BT157" s="191"/>
      <c r="BU157" s="191"/>
      <c r="BV157" s="191"/>
      <c r="BW157" s="191"/>
      <c r="BX157" s="191"/>
      <c r="BY157" s="191"/>
      <c r="BZ157" s="191"/>
      <c r="CA157" s="191"/>
      <c r="CB157" s="191"/>
      <c r="CC157" s="191"/>
      <c r="CD157" s="191"/>
      <c r="CE157" s="191"/>
      <c r="CF157" s="191"/>
      <c r="CG157" s="191"/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  <c r="CV157" s="191"/>
      <c r="CW157" s="191"/>
      <c r="CX157" s="191"/>
      <c r="CY157" s="191"/>
      <c r="CZ157" s="191"/>
      <c r="DA157" s="191"/>
      <c r="DB157" s="191"/>
      <c r="DC157" s="191"/>
      <c r="DD157" s="191"/>
      <c r="DE157" s="191"/>
      <c r="DF157" s="191"/>
      <c r="DG157" s="191"/>
      <c r="DH157" s="191"/>
      <c r="DI157" s="191"/>
      <c r="DJ157" s="191"/>
      <c r="DK157" s="191"/>
    </row>
    <row r="158" customFormat="false" ht="11.25" hidden="false" customHeight="true" outlineLevel="0" collapsed="false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189" t="s">
        <v>351</v>
      </c>
      <c r="L158" s="191"/>
      <c r="M158" s="189"/>
      <c r="N158" s="188"/>
      <c r="O158" s="189" t="s">
        <v>350</v>
      </c>
      <c r="P158" s="189"/>
      <c r="Q158" s="191"/>
      <c r="R158" s="194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91"/>
      <c r="DB158" s="191"/>
      <c r="DC158" s="191"/>
      <c r="DD158" s="191"/>
      <c r="DE158" s="191"/>
      <c r="DF158" s="191"/>
      <c r="DG158" s="191"/>
      <c r="DH158" s="191"/>
      <c r="DI158" s="191"/>
      <c r="DJ158" s="191"/>
      <c r="DK158" s="191"/>
    </row>
    <row r="159" customFormat="false" ht="11.25" hidden="false" customHeight="true" outlineLevel="0" collapsed="false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189" t="s">
        <v>352</v>
      </c>
      <c r="L159" s="191"/>
      <c r="M159" s="189"/>
      <c r="N159" s="188"/>
      <c r="O159" s="189" t="s">
        <v>351</v>
      </c>
      <c r="P159" s="189"/>
      <c r="Q159" s="191"/>
      <c r="R159" s="194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</row>
    <row r="160" customFormat="false" ht="11.25" hidden="false" customHeight="true" outlineLevel="0" collapsed="false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189" t="s">
        <v>353</v>
      </c>
      <c r="L160" s="191"/>
      <c r="M160" s="189"/>
      <c r="N160" s="188"/>
      <c r="O160" s="189" t="s">
        <v>352</v>
      </c>
      <c r="P160" s="189"/>
      <c r="Q160" s="191"/>
      <c r="R160" s="194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1"/>
      <c r="CJ160" s="191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1"/>
      <c r="CV160" s="191"/>
      <c r="CW160" s="191"/>
      <c r="CX160" s="191"/>
      <c r="CY160" s="191"/>
      <c r="CZ160" s="191"/>
      <c r="DA160" s="191"/>
      <c r="DB160" s="191"/>
      <c r="DC160" s="191"/>
      <c r="DD160" s="191"/>
      <c r="DE160" s="191"/>
      <c r="DF160" s="191"/>
      <c r="DG160" s="191"/>
      <c r="DH160" s="191"/>
      <c r="DI160" s="191"/>
      <c r="DJ160" s="191"/>
      <c r="DK160" s="191"/>
    </row>
    <row r="161" customFormat="false" ht="11.25" hidden="false" customHeight="true" outlineLevel="0" collapsed="false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189" t="s">
        <v>354</v>
      </c>
      <c r="L161" s="191"/>
      <c r="M161" s="189"/>
      <c r="N161" s="188"/>
      <c r="O161" s="189" t="s">
        <v>353</v>
      </c>
      <c r="P161" s="189"/>
      <c r="Q161" s="191"/>
      <c r="R161" s="194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1"/>
      <c r="CJ161" s="191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</row>
    <row r="162" customFormat="false" ht="11.25" hidden="false" customHeight="true" outlineLevel="0" collapsed="false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189" t="s">
        <v>355</v>
      </c>
      <c r="L162" s="191"/>
      <c r="M162" s="189"/>
      <c r="N162" s="188"/>
      <c r="O162" s="189" t="s">
        <v>354</v>
      </c>
      <c r="P162" s="189"/>
      <c r="Q162" s="191"/>
      <c r="R162" s="194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  <c r="CV162" s="191"/>
      <c r="CW162" s="191"/>
      <c r="CX162" s="191"/>
      <c r="CY162" s="191"/>
      <c r="CZ162" s="191"/>
      <c r="DA162" s="191"/>
      <c r="DB162" s="191"/>
      <c r="DC162" s="191"/>
      <c r="DD162" s="191"/>
      <c r="DE162" s="191"/>
      <c r="DF162" s="191"/>
      <c r="DG162" s="191"/>
      <c r="DH162" s="191"/>
      <c r="DI162" s="191"/>
      <c r="DJ162" s="191"/>
      <c r="DK162" s="191"/>
    </row>
    <row r="163" customFormat="false" ht="11.25" hidden="false" customHeight="true" outlineLevel="0" collapsed="false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189" t="s">
        <v>356</v>
      </c>
      <c r="L163" s="191"/>
      <c r="M163" s="189"/>
      <c r="N163" s="188"/>
      <c r="O163" s="189" t="s">
        <v>355</v>
      </c>
      <c r="P163" s="189"/>
      <c r="Q163" s="191"/>
      <c r="R163" s="194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1"/>
      <c r="BQ163" s="191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1"/>
      <c r="CJ163" s="191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1"/>
      <c r="CV163" s="191"/>
      <c r="CW163" s="191"/>
      <c r="CX163" s="191"/>
      <c r="CY163" s="191"/>
      <c r="CZ163" s="191"/>
      <c r="DA163" s="191"/>
      <c r="DB163" s="191"/>
      <c r="DC163" s="191"/>
      <c r="DD163" s="191"/>
      <c r="DE163" s="191"/>
      <c r="DF163" s="191"/>
      <c r="DG163" s="191"/>
      <c r="DH163" s="191"/>
      <c r="DI163" s="191"/>
      <c r="DJ163" s="191"/>
      <c r="DK163" s="191"/>
    </row>
    <row r="164" customFormat="false" ht="11.25" hidden="false" customHeight="true" outlineLevel="0" collapsed="false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189" t="s">
        <v>357</v>
      </c>
      <c r="L164" s="191"/>
      <c r="M164" s="189"/>
      <c r="N164" s="188"/>
      <c r="O164" s="189" t="s">
        <v>356</v>
      </c>
      <c r="P164" s="189"/>
      <c r="Q164" s="191"/>
      <c r="R164" s="194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91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</row>
    <row r="165" customFormat="false" ht="11.25" hidden="false" customHeight="true" outlineLevel="0" collapsed="false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189" t="s">
        <v>358</v>
      </c>
      <c r="L165" s="191"/>
      <c r="M165" s="189"/>
      <c r="N165" s="188"/>
      <c r="O165" s="189" t="s">
        <v>357</v>
      </c>
      <c r="P165" s="189"/>
      <c r="Q165" s="191"/>
      <c r="R165" s="194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  <c r="BR165" s="191"/>
      <c r="BS165" s="191"/>
      <c r="BT165" s="191"/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1"/>
      <c r="CJ165" s="191"/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  <c r="CV165" s="191"/>
      <c r="CW165" s="191"/>
      <c r="CX165" s="191"/>
      <c r="CY165" s="191"/>
      <c r="CZ165" s="191"/>
      <c r="DA165" s="191"/>
      <c r="DB165" s="191"/>
      <c r="DC165" s="191"/>
      <c r="DD165" s="191"/>
      <c r="DE165" s="191"/>
      <c r="DF165" s="191"/>
      <c r="DG165" s="191"/>
      <c r="DH165" s="191"/>
      <c r="DI165" s="191"/>
      <c r="DJ165" s="191"/>
      <c r="DK165" s="191"/>
    </row>
    <row r="166" customFormat="false" ht="11.25" hidden="false" customHeight="true" outlineLevel="0" collapsed="false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189" t="s">
        <v>359</v>
      </c>
      <c r="L166" s="191"/>
      <c r="M166" s="189"/>
      <c r="N166" s="188"/>
      <c r="O166" s="189" t="s">
        <v>358</v>
      </c>
      <c r="P166" s="189"/>
      <c r="Q166" s="191"/>
      <c r="R166" s="194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  <c r="BR166" s="191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1"/>
      <c r="CJ166" s="191"/>
      <c r="CK166" s="191"/>
      <c r="CL166" s="191"/>
      <c r="CM166" s="191"/>
      <c r="CN166" s="191"/>
      <c r="CO166" s="191"/>
      <c r="CP166" s="191"/>
      <c r="CQ166" s="191"/>
      <c r="CR166" s="191"/>
      <c r="CS166" s="191"/>
      <c r="CT166" s="191"/>
      <c r="CU166" s="191"/>
      <c r="CV166" s="191"/>
      <c r="CW166" s="191"/>
      <c r="CX166" s="191"/>
      <c r="CY166" s="191"/>
      <c r="CZ166" s="191"/>
      <c r="DA166" s="191"/>
      <c r="DB166" s="191"/>
      <c r="DC166" s="191"/>
      <c r="DD166" s="191"/>
      <c r="DE166" s="191"/>
      <c r="DF166" s="191"/>
      <c r="DG166" s="191"/>
      <c r="DH166" s="191"/>
      <c r="DI166" s="191"/>
      <c r="DJ166" s="191"/>
      <c r="DK166" s="191"/>
    </row>
    <row r="167" customFormat="false" ht="11.25" hidden="false" customHeight="true" outlineLevel="0" collapsed="false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189" t="s">
        <v>360</v>
      </c>
      <c r="L167" s="191"/>
      <c r="M167" s="189"/>
      <c r="N167" s="188"/>
      <c r="O167" s="189" t="s">
        <v>359</v>
      </c>
      <c r="P167" s="189"/>
      <c r="Q167" s="191"/>
      <c r="R167" s="194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1"/>
      <c r="CJ167" s="191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1"/>
      <c r="CV167" s="191"/>
      <c r="CW167" s="191"/>
      <c r="CX167" s="191"/>
      <c r="CY167" s="191"/>
      <c r="CZ167" s="191"/>
      <c r="DA167" s="191"/>
      <c r="DB167" s="191"/>
      <c r="DC167" s="191"/>
      <c r="DD167" s="191"/>
      <c r="DE167" s="191"/>
      <c r="DF167" s="191"/>
      <c r="DG167" s="191"/>
      <c r="DH167" s="191"/>
      <c r="DI167" s="191"/>
      <c r="DJ167" s="191"/>
      <c r="DK167" s="191"/>
    </row>
    <row r="168" customFormat="false" ht="11.25" hidden="false" customHeight="true" outlineLevel="0" collapsed="false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189" t="s">
        <v>361</v>
      </c>
      <c r="L168" s="191"/>
      <c r="M168" s="189"/>
      <c r="N168" s="188"/>
      <c r="O168" s="189" t="s">
        <v>360</v>
      </c>
      <c r="P168" s="189"/>
      <c r="Q168" s="191"/>
      <c r="R168" s="194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  <c r="CV168" s="191"/>
      <c r="CW168" s="191"/>
      <c r="CX168" s="191"/>
      <c r="CY168" s="191"/>
      <c r="CZ168" s="191"/>
      <c r="DA168" s="191"/>
      <c r="DB168" s="191"/>
      <c r="DC168" s="191"/>
      <c r="DD168" s="191"/>
      <c r="DE168" s="191"/>
      <c r="DF168" s="191"/>
      <c r="DG168" s="191"/>
      <c r="DH168" s="191"/>
      <c r="DI168" s="191"/>
      <c r="DJ168" s="191"/>
      <c r="DK168" s="191"/>
    </row>
    <row r="169" customFormat="false" ht="11.25" hidden="false" customHeight="true" outlineLevel="0" collapsed="false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189" t="s">
        <v>362</v>
      </c>
      <c r="L169" s="191"/>
      <c r="M169" s="189"/>
      <c r="N169" s="188"/>
      <c r="O169" s="189" t="s">
        <v>361</v>
      </c>
      <c r="P169" s="189"/>
      <c r="Q169" s="191"/>
      <c r="R169" s="194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  <c r="BR169" s="191"/>
      <c r="BS169" s="191"/>
      <c r="BT169" s="191"/>
      <c r="BU169" s="191"/>
      <c r="BV169" s="191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1"/>
      <c r="CJ169" s="191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  <c r="CV169" s="191"/>
      <c r="CW169" s="191"/>
      <c r="CX169" s="191"/>
      <c r="CY169" s="191"/>
      <c r="CZ169" s="191"/>
      <c r="DA169" s="191"/>
      <c r="DB169" s="191"/>
      <c r="DC169" s="191"/>
      <c r="DD169" s="191"/>
      <c r="DE169" s="191"/>
      <c r="DF169" s="191"/>
      <c r="DG169" s="191"/>
      <c r="DH169" s="191"/>
      <c r="DI169" s="191"/>
      <c r="DJ169" s="191"/>
      <c r="DK169" s="191"/>
    </row>
    <row r="170" customFormat="false" ht="11.25" hidden="false" customHeight="true" outlineLevel="0" collapsed="false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189" t="s">
        <v>363</v>
      </c>
      <c r="L170" s="191"/>
      <c r="M170" s="189"/>
      <c r="N170" s="188"/>
      <c r="O170" s="189" t="s">
        <v>362</v>
      </c>
      <c r="P170" s="189"/>
      <c r="Q170" s="191"/>
      <c r="R170" s="194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  <c r="BR170" s="191"/>
      <c r="BS170" s="191"/>
      <c r="BT170" s="191"/>
      <c r="BU170" s="191"/>
      <c r="BV170" s="191"/>
      <c r="BW170" s="191"/>
      <c r="BX170" s="191"/>
      <c r="BY170" s="191"/>
      <c r="BZ170" s="191"/>
      <c r="CA170" s="191"/>
      <c r="CB170" s="191"/>
      <c r="CC170" s="191"/>
      <c r="CD170" s="191"/>
      <c r="CE170" s="191"/>
      <c r="CF170" s="191"/>
      <c r="CG170" s="191"/>
      <c r="CH170" s="191"/>
      <c r="CI170" s="191"/>
      <c r="CJ170" s="191"/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1"/>
      <c r="CV170" s="191"/>
      <c r="CW170" s="191"/>
      <c r="CX170" s="191"/>
      <c r="CY170" s="191"/>
      <c r="CZ170" s="191"/>
      <c r="DA170" s="191"/>
      <c r="DB170" s="191"/>
      <c r="DC170" s="191"/>
      <c r="DD170" s="191"/>
      <c r="DE170" s="191"/>
      <c r="DF170" s="191"/>
      <c r="DG170" s="191"/>
      <c r="DH170" s="191"/>
      <c r="DI170" s="191"/>
      <c r="DJ170" s="191"/>
      <c r="DK170" s="191"/>
    </row>
    <row r="171" customFormat="false" ht="11.25" hidden="false" customHeight="true" outlineLevel="0" collapsed="false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189" t="s">
        <v>364</v>
      </c>
      <c r="L171" s="191"/>
      <c r="M171" s="189"/>
      <c r="N171" s="188"/>
      <c r="O171" s="189" t="s">
        <v>363</v>
      </c>
      <c r="P171" s="189"/>
      <c r="Q171" s="191"/>
      <c r="R171" s="194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</row>
    <row r="172" customFormat="false" ht="11.25" hidden="false" customHeight="true" outlineLevel="0" collapsed="false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189" t="s">
        <v>365</v>
      </c>
      <c r="L172" s="191"/>
      <c r="M172" s="189"/>
      <c r="N172" s="188"/>
      <c r="O172" s="189" t="s">
        <v>364</v>
      </c>
      <c r="P172" s="189"/>
      <c r="Q172" s="191"/>
      <c r="R172" s="194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</row>
    <row r="173" customFormat="false" ht="11.25" hidden="false" customHeight="true" outlineLevel="0" collapsed="false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189" t="s">
        <v>366</v>
      </c>
      <c r="L173" s="191"/>
      <c r="M173" s="189"/>
      <c r="N173" s="188"/>
      <c r="O173" s="189" t="s">
        <v>365</v>
      </c>
      <c r="P173" s="189"/>
      <c r="Q173" s="191"/>
      <c r="R173" s="194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1"/>
      <c r="BN173" s="191"/>
      <c r="BO173" s="191"/>
      <c r="BP173" s="191"/>
      <c r="BQ173" s="191"/>
      <c r="BR173" s="191"/>
      <c r="BS173" s="191"/>
      <c r="BT173" s="191"/>
      <c r="BU173" s="191"/>
      <c r="BV173" s="191"/>
      <c r="BW173" s="191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1"/>
      <c r="CH173" s="191"/>
      <c r="CI173" s="191"/>
      <c r="CJ173" s="191"/>
      <c r="CK173" s="191"/>
      <c r="CL173" s="191"/>
      <c r="CM173" s="191"/>
      <c r="CN173" s="191"/>
      <c r="CO173" s="191"/>
      <c r="CP173" s="191"/>
      <c r="CQ173" s="191"/>
      <c r="CR173" s="191"/>
      <c r="CS173" s="191"/>
      <c r="CT173" s="191"/>
      <c r="CU173" s="191"/>
      <c r="CV173" s="191"/>
      <c r="CW173" s="191"/>
      <c r="CX173" s="191"/>
      <c r="CY173" s="191"/>
      <c r="CZ173" s="191"/>
      <c r="DA173" s="191"/>
      <c r="DB173" s="191"/>
      <c r="DC173" s="191"/>
      <c r="DD173" s="191"/>
      <c r="DE173" s="191"/>
      <c r="DF173" s="191"/>
      <c r="DG173" s="191"/>
      <c r="DH173" s="191"/>
      <c r="DI173" s="191"/>
      <c r="DJ173" s="191"/>
      <c r="DK173" s="191"/>
    </row>
    <row r="174" customFormat="false" ht="11.25" hidden="false" customHeight="true" outlineLevel="0" collapsed="false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189" t="s">
        <v>367</v>
      </c>
      <c r="L174" s="191"/>
      <c r="M174" s="189"/>
      <c r="N174" s="188"/>
      <c r="O174" s="189" t="s">
        <v>366</v>
      </c>
      <c r="P174" s="189"/>
      <c r="Q174" s="191"/>
      <c r="R174" s="194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  <c r="CV174" s="191"/>
      <c r="CW174" s="191"/>
      <c r="CX174" s="191"/>
      <c r="CY174" s="191"/>
      <c r="CZ174" s="191"/>
      <c r="DA174" s="191"/>
      <c r="DB174" s="191"/>
      <c r="DC174" s="191"/>
      <c r="DD174" s="191"/>
      <c r="DE174" s="191"/>
      <c r="DF174" s="191"/>
      <c r="DG174" s="191"/>
      <c r="DH174" s="191"/>
      <c r="DI174" s="191"/>
      <c r="DJ174" s="191"/>
      <c r="DK174" s="191"/>
    </row>
    <row r="175" customFormat="false" ht="11.25" hidden="false" customHeight="true" outlineLevel="0" collapsed="false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189" t="s">
        <v>368</v>
      </c>
      <c r="L175" s="191"/>
      <c r="M175" s="189"/>
      <c r="N175" s="188"/>
      <c r="O175" s="189" t="s">
        <v>367</v>
      </c>
      <c r="P175" s="189"/>
      <c r="Q175" s="191"/>
      <c r="R175" s="194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</row>
    <row r="176" customFormat="false" ht="11.25" hidden="false" customHeight="true" outlineLevel="0" collapsed="false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189" t="s">
        <v>369</v>
      </c>
      <c r="L176" s="191"/>
      <c r="M176" s="189"/>
      <c r="N176" s="188"/>
      <c r="O176" s="189" t="s">
        <v>368</v>
      </c>
      <c r="P176" s="189"/>
      <c r="Q176" s="191"/>
      <c r="R176" s="194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1"/>
      <c r="BN176" s="191"/>
      <c r="BO176" s="191"/>
      <c r="BP176" s="191"/>
      <c r="BQ176" s="191"/>
      <c r="BR176" s="191"/>
      <c r="BS176" s="191"/>
      <c r="BT176" s="191"/>
      <c r="BU176" s="191"/>
      <c r="BV176" s="191"/>
      <c r="BW176" s="191"/>
      <c r="BX176" s="191"/>
      <c r="BY176" s="191"/>
      <c r="BZ176" s="191"/>
      <c r="CA176" s="191"/>
      <c r="CB176" s="191"/>
      <c r="CC176" s="191"/>
      <c r="CD176" s="191"/>
      <c r="CE176" s="191"/>
      <c r="CF176" s="191"/>
      <c r="CG176" s="191"/>
      <c r="CH176" s="191"/>
      <c r="CI176" s="191"/>
      <c r="CJ176" s="191"/>
      <c r="CK176" s="191"/>
      <c r="CL176" s="191"/>
      <c r="CM176" s="191"/>
      <c r="CN176" s="191"/>
      <c r="CO176" s="191"/>
      <c r="CP176" s="191"/>
      <c r="CQ176" s="191"/>
      <c r="CR176" s="191"/>
      <c r="CS176" s="191"/>
      <c r="CT176" s="191"/>
      <c r="CU176" s="191"/>
      <c r="CV176" s="191"/>
      <c r="CW176" s="191"/>
      <c r="CX176" s="191"/>
      <c r="CY176" s="191"/>
      <c r="CZ176" s="191"/>
      <c r="DA176" s="191"/>
      <c r="DB176" s="191"/>
      <c r="DC176" s="191"/>
      <c r="DD176" s="191"/>
      <c r="DE176" s="191"/>
      <c r="DF176" s="191"/>
      <c r="DG176" s="191"/>
      <c r="DH176" s="191"/>
      <c r="DI176" s="191"/>
      <c r="DJ176" s="191"/>
      <c r="DK176" s="191"/>
    </row>
    <row r="177" customFormat="false" ht="11.25" hidden="false" customHeight="true" outlineLevel="0" collapsed="false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189" t="s">
        <v>370</v>
      </c>
      <c r="L177" s="191"/>
      <c r="M177" s="189"/>
      <c r="N177" s="188"/>
      <c r="O177" s="189" t="s">
        <v>369</v>
      </c>
      <c r="P177" s="189"/>
      <c r="Q177" s="191"/>
      <c r="R177" s="194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1"/>
      <c r="BN177" s="191"/>
      <c r="BO177" s="191"/>
      <c r="BP177" s="191"/>
      <c r="BQ177" s="191"/>
      <c r="BR177" s="191"/>
      <c r="BS177" s="191"/>
      <c r="BT177" s="191"/>
      <c r="BU177" s="191"/>
      <c r="BV177" s="191"/>
      <c r="BW177" s="191"/>
      <c r="BX177" s="191"/>
      <c r="BY177" s="191"/>
      <c r="BZ177" s="191"/>
      <c r="CA177" s="191"/>
      <c r="CB177" s="191"/>
      <c r="CC177" s="191"/>
      <c r="CD177" s="191"/>
      <c r="CE177" s="191"/>
      <c r="CF177" s="191"/>
      <c r="CG177" s="191"/>
      <c r="CH177" s="191"/>
      <c r="CI177" s="191"/>
      <c r="CJ177" s="191"/>
      <c r="CK177" s="191"/>
      <c r="CL177" s="191"/>
      <c r="CM177" s="191"/>
      <c r="CN177" s="191"/>
      <c r="CO177" s="191"/>
      <c r="CP177" s="191"/>
      <c r="CQ177" s="191"/>
      <c r="CR177" s="191"/>
      <c r="CS177" s="191"/>
      <c r="CT177" s="191"/>
      <c r="CU177" s="191"/>
      <c r="CV177" s="191"/>
      <c r="CW177" s="191"/>
      <c r="CX177" s="191"/>
      <c r="CY177" s="191"/>
      <c r="CZ177" s="191"/>
      <c r="DA177" s="191"/>
      <c r="DB177" s="191"/>
      <c r="DC177" s="191"/>
      <c r="DD177" s="191"/>
      <c r="DE177" s="191"/>
      <c r="DF177" s="191"/>
      <c r="DG177" s="191"/>
      <c r="DH177" s="191"/>
      <c r="DI177" s="191"/>
      <c r="DJ177" s="191"/>
      <c r="DK177" s="191"/>
    </row>
    <row r="178" customFormat="false" ht="11.25" hidden="false" customHeight="true" outlineLevel="0" collapsed="false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189" t="s">
        <v>371</v>
      </c>
      <c r="L178" s="191"/>
      <c r="M178" s="189"/>
      <c r="N178" s="188"/>
      <c r="O178" s="189" t="s">
        <v>370</v>
      </c>
      <c r="P178" s="189"/>
      <c r="Q178" s="191"/>
      <c r="R178" s="194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1"/>
      <c r="BN178" s="191"/>
      <c r="BO178" s="191"/>
      <c r="BP178" s="191"/>
      <c r="BQ178" s="191"/>
      <c r="BR178" s="191"/>
      <c r="BS178" s="191"/>
      <c r="BT178" s="191"/>
      <c r="BU178" s="191"/>
      <c r="BV178" s="191"/>
      <c r="BW178" s="191"/>
      <c r="BX178" s="191"/>
      <c r="BY178" s="191"/>
      <c r="BZ178" s="191"/>
      <c r="CA178" s="191"/>
      <c r="CB178" s="191"/>
      <c r="CC178" s="191"/>
      <c r="CD178" s="191"/>
      <c r="CE178" s="191"/>
      <c r="CF178" s="191"/>
      <c r="CG178" s="191"/>
      <c r="CH178" s="191"/>
      <c r="CI178" s="191"/>
      <c r="CJ178" s="191"/>
      <c r="CK178" s="191"/>
      <c r="CL178" s="191"/>
      <c r="CM178" s="191"/>
      <c r="CN178" s="191"/>
      <c r="CO178" s="191"/>
      <c r="CP178" s="191"/>
      <c r="CQ178" s="191"/>
      <c r="CR178" s="191"/>
      <c r="CS178" s="191"/>
      <c r="CT178" s="191"/>
      <c r="CU178" s="191"/>
      <c r="CV178" s="191"/>
      <c r="CW178" s="191"/>
      <c r="CX178" s="191"/>
      <c r="CY178" s="191"/>
      <c r="CZ178" s="191"/>
      <c r="DA178" s="191"/>
      <c r="DB178" s="191"/>
      <c r="DC178" s="191"/>
      <c r="DD178" s="191"/>
      <c r="DE178" s="191"/>
      <c r="DF178" s="191"/>
      <c r="DG178" s="191"/>
      <c r="DH178" s="191"/>
      <c r="DI178" s="191"/>
      <c r="DJ178" s="191"/>
      <c r="DK178" s="191"/>
    </row>
    <row r="179" customFormat="false" ht="11.25" hidden="false" customHeight="true" outlineLevel="0" collapsed="false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189" t="s">
        <v>372</v>
      </c>
      <c r="L179" s="191"/>
      <c r="M179" s="189"/>
      <c r="N179" s="188"/>
      <c r="O179" s="189" t="s">
        <v>371</v>
      </c>
      <c r="P179" s="189"/>
      <c r="Q179" s="191"/>
      <c r="R179" s="194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1"/>
      <c r="BQ179" s="191"/>
      <c r="BR179" s="191"/>
      <c r="BS179" s="191"/>
      <c r="BT179" s="191"/>
      <c r="BU179" s="191"/>
      <c r="BV179" s="191"/>
      <c r="BW179" s="191"/>
      <c r="BX179" s="191"/>
      <c r="BY179" s="191"/>
      <c r="BZ179" s="191"/>
      <c r="CA179" s="191"/>
      <c r="CB179" s="191"/>
      <c r="CC179" s="191"/>
      <c r="CD179" s="191"/>
      <c r="CE179" s="191"/>
      <c r="CF179" s="191"/>
      <c r="CG179" s="191"/>
      <c r="CH179" s="191"/>
      <c r="CI179" s="191"/>
      <c r="CJ179" s="191"/>
      <c r="CK179" s="191"/>
      <c r="CL179" s="191"/>
      <c r="CM179" s="191"/>
      <c r="CN179" s="191"/>
      <c r="CO179" s="191"/>
      <c r="CP179" s="191"/>
      <c r="CQ179" s="191"/>
      <c r="CR179" s="191"/>
      <c r="CS179" s="191"/>
      <c r="CT179" s="191"/>
      <c r="CU179" s="191"/>
      <c r="CV179" s="191"/>
      <c r="CW179" s="191"/>
      <c r="CX179" s="191"/>
      <c r="CY179" s="191"/>
      <c r="CZ179" s="191"/>
      <c r="DA179" s="191"/>
      <c r="DB179" s="191"/>
      <c r="DC179" s="191"/>
      <c r="DD179" s="191"/>
      <c r="DE179" s="191"/>
      <c r="DF179" s="191"/>
      <c r="DG179" s="191"/>
      <c r="DH179" s="191"/>
      <c r="DI179" s="191"/>
      <c r="DJ179" s="191"/>
      <c r="DK179" s="191"/>
    </row>
    <row r="180" customFormat="false" ht="11.25" hidden="false" customHeight="true" outlineLevel="0" collapsed="false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189" t="s">
        <v>373</v>
      </c>
      <c r="L180" s="191"/>
      <c r="M180" s="189"/>
      <c r="N180" s="188"/>
      <c r="O180" s="189" t="s">
        <v>372</v>
      </c>
      <c r="P180" s="189"/>
      <c r="Q180" s="191"/>
      <c r="R180" s="194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91"/>
      <c r="BL180" s="191"/>
      <c r="BM180" s="191"/>
      <c r="BN180" s="191"/>
      <c r="BO180" s="191"/>
      <c r="BP180" s="191"/>
      <c r="BQ180" s="191"/>
      <c r="BR180" s="191"/>
      <c r="BS180" s="191"/>
      <c r="BT180" s="191"/>
      <c r="BU180" s="191"/>
      <c r="BV180" s="191"/>
      <c r="BW180" s="191"/>
      <c r="BX180" s="191"/>
      <c r="BY180" s="191"/>
      <c r="BZ180" s="191"/>
      <c r="CA180" s="191"/>
      <c r="CB180" s="191"/>
      <c r="CC180" s="191"/>
      <c r="CD180" s="191"/>
      <c r="CE180" s="191"/>
      <c r="CF180" s="191"/>
      <c r="CG180" s="191"/>
      <c r="CH180" s="191"/>
      <c r="CI180" s="191"/>
      <c r="CJ180" s="191"/>
      <c r="CK180" s="191"/>
      <c r="CL180" s="191"/>
      <c r="CM180" s="191"/>
      <c r="CN180" s="191"/>
      <c r="CO180" s="191"/>
      <c r="CP180" s="191"/>
      <c r="CQ180" s="191"/>
      <c r="CR180" s="191"/>
      <c r="CS180" s="191"/>
      <c r="CT180" s="191"/>
      <c r="CU180" s="191"/>
      <c r="CV180" s="191"/>
      <c r="CW180" s="191"/>
      <c r="CX180" s="191"/>
      <c r="CY180" s="191"/>
      <c r="CZ180" s="191"/>
      <c r="DA180" s="191"/>
      <c r="DB180" s="191"/>
      <c r="DC180" s="191"/>
      <c r="DD180" s="191"/>
      <c r="DE180" s="191"/>
      <c r="DF180" s="191"/>
      <c r="DG180" s="191"/>
      <c r="DH180" s="191"/>
      <c r="DI180" s="191"/>
      <c r="DJ180" s="191"/>
      <c r="DK180" s="191"/>
    </row>
    <row r="181" customFormat="false" ht="11.25" hidden="false" customHeight="true" outlineLevel="0" collapsed="false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189" t="s">
        <v>374</v>
      </c>
      <c r="L181" s="191"/>
      <c r="M181" s="189"/>
      <c r="N181" s="188"/>
      <c r="O181" s="189" t="s">
        <v>373</v>
      </c>
      <c r="P181" s="189"/>
      <c r="Q181" s="191"/>
      <c r="R181" s="194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91"/>
      <c r="BL181" s="191"/>
      <c r="BM181" s="191"/>
      <c r="BN181" s="191"/>
      <c r="BO181" s="191"/>
      <c r="BP181" s="191"/>
      <c r="BQ181" s="191"/>
      <c r="BR181" s="191"/>
      <c r="BS181" s="191"/>
      <c r="BT181" s="191"/>
      <c r="BU181" s="191"/>
      <c r="BV181" s="191"/>
      <c r="BW181" s="191"/>
      <c r="BX181" s="191"/>
      <c r="BY181" s="191"/>
      <c r="BZ181" s="191"/>
      <c r="CA181" s="191"/>
      <c r="CB181" s="191"/>
      <c r="CC181" s="191"/>
      <c r="CD181" s="191"/>
      <c r="CE181" s="191"/>
      <c r="CF181" s="191"/>
      <c r="CG181" s="191"/>
      <c r="CH181" s="191"/>
      <c r="CI181" s="191"/>
      <c r="CJ181" s="191"/>
      <c r="CK181" s="191"/>
      <c r="CL181" s="191"/>
      <c r="CM181" s="191"/>
      <c r="CN181" s="191"/>
      <c r="CO181" s="191"/>
      <c r="CP181" s="191"/>
      <c r="CQ181" s="191"/>
      <c r="CR181" s="191"/>
      <c r="CS181" s="191"/>
      <c r="CT181" s="191"/>
      <c r="CU181" s="191"/>
      <c r="CV181" s="191"/>
      <c r="CW181" s="191"/>
      <c r="CX181" s="191"/>
      <c r="CY181" s="191"/>
      <c r="CZ181" s="191"/>
      <c r="DA181" s="191"/>
      <c r="DB181" s="191"/>
      <c r="DC181" s="191"/>
      <c r="DD181" s="191"/>
      <c r="DE181" s="191"/>
      <c r="DF181" s="191"/>
      <c r="DG181" s="191"/>
      <c r="DH181" s="191"/>
      <c r="DI181" s="191"/>
      <c r="DJ181" s="191"/>
      <c r="DK181" s="191"/>
    </row>
    <row r="182" customFormat="false" ht="11.25" hidden="false" customHeight="true" outlineLevel="0" collapsed="false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189" t="s">
        <v>375</v>
      </c>
      <c r="L182" s="191"/>
      <c r="M182" s="189"/>
      <c r="N182" s="188"/>
      <c r="O182" s="189" t="s">
        <v>374</v>
      </c>
      <c r="P182" s="189"/>
      <c r="Q182" s="191"/>
      <c r="R182" s="194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/>
      <c r="BF182" s="191"/>
      <c r="BG182" s="191"/>
      <c r="BH182" s="191"/>
      <c r="BI182" s="191"/>
      <c r="BJ182" s="191"/>
      <c r="BK182" s="191"/>
      <c r="BL182" s="191"/>
      <c r="BM182" s="191"/>
      <c r="BN182" s="191"/>
      <c r="BO182" s="191"/>
      <c r="BP182" s="191"/>
      <c r="BQ182" s="191"/>
      <c r="BR182" s="191"/>
      <c r="BS182" s="191"/>
      <c r="BT182" s="191"/>
      <c r="BU182" s="191"/>
      <c r="BV182" s="191"/>
      <c r="BW182" s="191"/>
      <c r="BX182" s="191"/>
      <c r="BY182" s="191"/>
      <c r="BZ182" s="191"/>
      <c r="CA182" s="191"/>
      <c r="CB182" s="191"/>
      <c r="CC182" s="191"/>
      <c r="CD182" s="191"/>
      <c r="CE182" s="191"/>
      <c r="CF182" s="191"/>
      <c r="CG182" s="191"/>
      <c r="CH182" s="191"/>
      <c r="CI182" s="191"/>
      <c r="CJ182" s="191"/>
      <c r="CK182" s="191"/>
      <c r="CL182" s="191"/>
      <c r="CM182" s="191"/>
      <c r="CN182" s="191"/>
      <c r="CO182" s="191"/>
      <c r="CP182" s="191"/>
      <c r="CQ182" s="191"/>
      <c r="CR182" s="191"/>
      <c r="CS182" s="191"/>
      <c r="CT182" s="191"/>
      <c r="CU182" s="191"/>
      <c r="CV182" s="191"/>
      <c r="CW182" s="191"/>
      <c r="CX182" s="191"/>
      <c r="CY182" s="191"/>
      <c r="CZ182" s="191"/>
      <c r="DA182" s="191"/>
      <c r="DB182" s="191"/>
      <c r="DC182" s="191"/>
      <c r="DD182" s="191"/>
      <c r="DE182" s="191"/>
      <c r="DF182" s="191"/>
      <c r="DG182" s="191"/>
      <c r="DH182" s="191"/>
      <c r="DI182" s="191"/>
      <c r="DJ182" s="191"/>
      <c r="DK182" s="191"/>
    </row>
    <row r="183" customFormat="false" ht="11.25" hidden="false" customHeight="true" outlineLevel="0" collapsed="false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185" t="s">
        <v>34</v>
      </c>
      <c r="L183" s="191"/>
      <c r="M183" s="189"/>
      <c r="N183" s="188"/>
      <c r="O183" s="189" t="s">
        <v>375</v>
      </c>
      <c r="P183" s="189"/>
      <c r="Q183" s="191"/>
      <c r="R183" s="194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  <c r="BK183" s="191"/>
      <c r="BL183" s="191"/>
      <c r="BM183" s="191"/>
      <c r="BN183" s="191"/>
      <c r="BO183" s="191"/>
      <c r="BP183" s="191"/>
      <c r="BQ183" s="191"/>
      <c r="BR183" s="191"/>
      <c r="BS183" s="191"/>
      <c r="BT183" s="191"/>
      <c r="BU183" s="191"/>
      <c r="BV183" s="191"/>
      <c r="BW183" s="191"/>
      <c r="BX183" s="191"/>
      <c r="BY183" s="191"/>
      <c r="BZ183" s="191"/>
      <c r="CA183" s="191"/>
      <c r="CB183" s="191"/>
      <c r="CC183" s="191"/>
      <c r="CD183" s="191"/>
      <c r="CE183" s="191"/>
      <c r="CF183" s="191"/>
      <c r="CG183" s="191"/>
      <c r="CH183" s="191"/>
      <c r="CI183" s="191"/>
      <c r="CJ183" s="191"/>
      <c r="CK183" s="191"/>
      <c r="CL183" s="191"/>
      <c r="CM183" s="191"/>
      <c r="CN183" s="191"/>
      <c r="CO183" s="191"/>
      <c r="CP183" s="191"/>
      <c r="CQ183" s="191"/>
      <c r="CR183" s="191"/>
      <c r="CS183" s="191"/>
      <c r="CT183" s="191"/>
      <c r="CU183" s="191"/>
      <c r="CV183" s="191"/>
      <c r="CW183" s="191"/>
      <c r="CX183" s="191"/>
      <c r="CY183" s="191"/>
      <c r="CZ183" s="191"/>
      <c r="DA183" s="191"/>
      <c r="DB183" s="191"/>
      <c r="DC183" s="191"/>
      <c r="DD183" s="191"/>
      <c r="DE183" s="191"/>
      <c r="DF183" s="191"/>
      <c r="DG183" s="191"/>
      <c r="DH183" s="191"/>
      <c r="DI183" s="191"/>
      <c r="DJ183" s="191"/>
      <c r="DK183" s="191"/>
    </row>
    <row r="184" customFormat="false" ht="11.25" hidden="false" customHeight="true" outlineLevel="0" collapsed="false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185" t="s">
        <v>376</v>
      </c>
      <c r="L184" s="191"/>
      <c r="M184" s="189"/>
      <c r="N184" s="188"/>
      <c r="O184" s="185" t="s">
        <v>34</v>
      </c>
      <c r="P184" s="189"/>
      <c r="Q184" s="191"/>
      <c r="R184" s="194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  <c r="AY184" s="191"/>
      <c r="AZ184" s="191"/>
      <c r="BA184" s="191"/>
      <c r="BB184" s="191"/>
      <c r="BC184" s="191"/>
      <c r="BD184" s="191"/>
      <c r="BE184" s="191"/>
      <c r="BF184" s="191"/>
      <c r="BG184" s="191"/>
      <c r="BH184" s="191"/>
      <c r="BI184" s="191"/>
      <c r="BJ184" s="191"/>
      <c r="BK184" s="191"/>
      <c r="BL184" s="191"/>
      <c r="BM184" s="191"/>
      <c r="BN184" s="191"/>
      <c r="BO184" s="191"/>
      <c r="BP184" s="191"/>
      <c r="BQ184" s="191"/>
      <c r="BR184" s="191"/>
      <c r="BS184" s="191"/>
      <c r="BT184" s="191"/>
      <c r="BU184" s="191"/>
      <c r="BV184" s="191"/>
      <c r="BW184" s="191"/>
      <c r="BX184" s="191"/>
      <c r="BY184" s="191"/>
      <c r="BZ184" s="191"/>
      <c r="CA184" s="191"/>
      <c r="CB184" s="191"/>
      <c r="CC184" s="191"/>
      <c r="CD184" s="191"/>
      <c r="CE184" s="191"/>
      <c r="CF184" s="191"/>
      <c r="CG184" s="191"/>
      <c r="CH184" s="191"/>
      <c r="CI184" s="191"/>
      <c r="CJ184" s="191"/>
      <c r="CK184" s="191"/>
      <c r="CL184" s="191"/>
      <c r="CM184" s="191"/>
      <c r="CN184" s="191"/>
      <c r="CO184" s="191"/>
      <c r="CP184" s="191"/>
      <c r="CQ184" s="191"/>
      <c r="CR184" s="191"/>
      <c r="CS184" s="191"/>
      <c r="CT184" s="191"/>
      <c r="CU184" s="191"/>
      <c r="CV184" s="191"/>
      <c r="CW184" s="191"/>
      <c r="CX184" s="191"/>
      <c r="CY184" s="191"/>
      <c r="CZ184" s="191"/>
      <c r="DA184" s="191"/>
      <c r="DB184" s="191"/>
      <c r="DC184" s="191"/>
      <c r="DD184" s="191"/>
      <c r="DE184" s="191"/>
      <c r="DF184" s="191"/>
      <c r="DG184" s="191"/>
      <c r="DH184" s="191"/>
      <c r="DI184" s="191"/>
      <c r="DJ184" s="191"/>
      <c r="DK184" s="191"/>
    </row>
    <row r="185" customFormat="false" ht="11.25" hidden="false" customHeight="true" outlineLevel="0" collapsed="false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185" t="s">
        <v>377</v>
      </c>
      <c r="L185" s="191"/>
      <c r="M185" s="189"/>
      <c r="N185" s="188"/>
      <c r="O185" s="185" t="s">
        <v>376</v>
      </c>
      <c r="P185" s="189"/>
      <c r="Q185" s="191"/>
      <c r="R185" s="194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  <c r="AY185" s="191"/>
      <c r="AZ185" s="191"/>
      <c r="BA185" s="191"/>
      <c r="BB185" s="191"/>
      <c r="BC185" s="191"/>
      <c r="BD185" s="191"/>
      <c r="BE185" s="191"/>
      <c r="BF185" s="191"/>
      <c r="BG185" s="191"/>
      <c r="BH185" s="191"/>
      <c r="BI185" s="191"/>
      <c r="BJ185" s="191"/>
      <c r="BK185" s="191"/>
      <c r="BL185" s="191"/>
      <c r="BM185" s="191"/>
      <c r="BN185" s="191"/>
      <c r="BO185" s="191"/>
      <c r="BP185" s="191"/>
      <c r="BQ185" s="191"/>
      <c r="BR185" s="191"/>
      <c r="BS185" s="191"/>
      <c r="BT185" s="191"/>
      <c r="BU185" s="191"/>
      <c r="BV185" s="191"/>
      <c r="BW185" s="191"/>
      <c r="BX185" s="191"/>
      <c r="BY185" s="191"/>
      <c r="BZ185" s="191"/>
      <c r="CA185" s="191"/>
      <c r="CB185" s="191"/>
      <c r="CC185" s="191"/>
      <c r="CD185" s="191"/>
      <c r="CE185" s="191"/>
      <c r="CF185" s="191"/>
      <c r="CG185" s="191"/>
      <c r="CH185" s="191"/>
      <c r="CI185" s="191"/>
      <c r="CJ185" s="191"/>
      <c r="CK185" s="191"/>
      <c r="CL185" s="191"/>
      <c r="CM185" s="191"/>
      <c r="CN185" s="191"/>
      <c r="CO185" s="191"/>
      <c r="CP185" s="191"/>
      <c r="CQ185" s="191"/>
      <c r="CR185" s="191"/>
      <c r="CS185" s="191"/>
      <c r="CT185" s="191"/>
      <c r="CU185" s="191"/>
      <c r="CV185" s="191"/>
      <c r="CW185" s="191"/>
      <c r="CX185" s="191"/>
      <c r="CY185" s="191"/>
      <c r="CZ185" s="191"/>
      <c r="DA185" s="191"/>
      <c r="DB185" s="191"/>
      <c r="DC185" s="191"/>
      <c r="DD185" s="191"/>
      <c r="DE185" s="191"/>
      <c r="DF185" s="191"/>
      <c r="DG185" s="191"/>
      <c r="DH185" s="191"/>
      <c r="DI185" s="191"/>
      <c r="DJ185" s="191"/>
      <c r="DK185" s="191"/>
    </row>
    <row r="186" customFormat="false" ht="11.25" hidden="false" customHeight="true" outlineLevel="0" collapsed="false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185" t="s">
        <v>378</v>
      </c>
      <c r="L186" s="191"/>
      <c r="M186" s="189"/>
      <c r="N186" s="188"/>
      <c r="O186" s="185" t="s">
        <v>377</v>
      </c>
      <c r="P186" s="189"/>
      <c r="Q186" s="191"/>
      <c r="R186" s="194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91"/>
      <c r="BL186" s="191"/>
      <c r="BM186" s="191"/>
      <c r="BN186" s="191"/>
      <c r="BO186" s="191"/>
      <c r="BP186" s="191"/>
      <c r="BQ186" s="191"/>
      <c r="BR186" s="191"/>
      <c r="BS186" s="191"/>
      <c r="BT186" s="191"/>
      <c r="BU186" s="191"/>
      <c r="BV186" s="191"/>
      <c r="BW186" s="191"/>
      <c r="BX186" s="191"/>
      <c r="BY186" s="191"/>
      <c r="BZ186" s="191"/>
      <c r="CA186" s="191"/>
      <c r="CB186" s="191"/>
      <c r="CC186" s="191"/>
      <c r="CD186" s="191"/>
      <c r="CE186" s="191"/>
      <c r="CF186" s="191"/>
      <c r="CG186" s="191"/>
      <c r="CH186" s="191"/>
      <c r="CI186" s="191"/>
      <c r="CJ186" s="191"/>
      <c r="CK186" s="191"/>
      <c r="CL186" s="191"/>
      <c r="CM186" s="191"/>
      <c r="CN186" s="191"/>
      <c r="CO186" s="191"/>
      <c r="CP186" s="191"/>
      <c r="CQ186" s="191"/>
      <c r="CR186" s="191"/>
      <c r="CS186" s="191"/>
      <c r="CT186" s="191"/>
      <c r="CU186" s="191"/>
      <c r="CV186" s="191"/>
      <c r="CW186" s="191"/>
      <c r="CX186" s="191"/>
      <c r="CY186" s="191"/>
      <c r="CZ186" s="191"/>
      <c r="DA186" s="191"/>
      <c r="DB186" s="191"/>
      <c r="DC186" s="191"/>
      <c r="DD186" s="191"/>
      <c r="DE186" s="191"/>
      <c r="DF186" s="191"/>
      <c r="DG186" s="191"/>
      <c r="DH186" s="191"/>
      <c r="DI186" s="191"/>
      <c r="DJ186" s="191"/>
      <c r="DK186" s="191"/>
    </row>
    <row r="187" customFormat="false" ht="11.25" hidden="false" customHeight="true" outlineLevel="0" collapsed="false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185" t="s">
        <v>379</v>
      </c>
      <c r="L187" s="191"/>
      <c r="M187" s="189"/>
      <c r="N187" s="188"/>
      <c r="O187" s="185" t="s">
        <v>378</v>
      </c>
      <c r="P187" s="189"/>
      <c r="Q187" s="191"/>
      <c r="R187" s="194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1"/>
      <c r="BN187" s="191"/>
      <c r="BO187" s="191"/>
      <c r="BP187" s="191"/>
      <c r="BQ187" s="191"/>
      <c r="BR187" s="191"/>
      <c r="BS187" s="191"/>
      <c r="BT187" s="191"/>
      <c r="BU187" s="191"/>
      <c r="BV187" s="191"/>
      <c r="BW187" s="191"/>
      <c r="BX187" s="191"/>
      <c r="BY187" s="191"/>
      <c r="BZ187" s="191"/>
      <c r="CA187" s="191"/>
      <c r="CB187" s="191"/>
      <c r="CC187" s="191"/>
      <c r="CD187" s="191"/>
      <c r="CE187" s="191"/>
      <c r="CF187" s="191"/>
      <c r="CG187" s="191"/>
      <c r="CH187" s="191"/>
      <c r="CI187" s="191"/>
      <c r="CJ187" s="191"/>
      <c r="CK187" s="191"/>
      <c r="CL187" s="191"/>
      <c r="CM187" s="191"/>
      <c r="CN187" s="191"/>
      <c r="CO187" s="191"/>
      <c r="CP187" s="191"/>
      <c r="CQ187" s="191"/>
      <c r="CR187" s="191"/>
      <c r="CS187" s="191"/>
      <c r="CT187" s="191"/>
      <c r="CU187" s="191"/>
      <c r="CV187" s="191"/>
      <c r="CW187" s="191"/>
      <c r="CX187" s="191"/>
      <c r="CY187" s="191"/>
      <c r="CZ187" s="191"/>
      <c r="DA187" s="191"/>
      <c r="DB187" s="191"/>
      <c r="DC187" s="191"/>
      <c r="DD187" s="191"/>
      <c r="DE187" s="191"/>
      <c r="DF187" s="191"/>
      <c r="DG187" s="191"/>
      <c r="DH187" s="191"/>
      <c r="DI187" s="191"/>
      <c r="DJ187" s="191"/>
      <c r="DK187" s="191"/>
    </row>
    <row r="188" customFormat="false" ht="11.25" hidden="false" customHeight="true" outlineLevel="0" collapsed="false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189" t="s">
        <v>380</v>
      </c>
      <c r="L188" s="191"/>
      <c r="M188" s="189"/>
      <c r="N188" s="188"/>
      <c r="O188" s="185" t="s">
        <v>379</v>
      </c>
      <c r="P188" s="189"/>
      <c r="Q188" s="191"/>
      <c r="R188" s="194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  <c r="BK188" s="191"/>
      <c r="BL188" s="191"/>
      <c r="BM188" s="191"/>
      <c r="BN188" s="191"/>
      <c r="BO188" s="191"/>
      <c r="BP188" s="191"/>
      <c r="BQ188" s="191"/>
      <c r="BR188" s="191"/>
      <c r="BS188" s="191"/>
      <c r="BT188" s="191"/>
      <c r="BU188" s="191"/>
      <c r="BV188" s="191"/>
      <c r="BW188" s="191"/>
      <c r="BX188" s="191"/>
      <c r="BY188" s="191"/>
      <c r="BZ188" s="191"/>
      <c r="CA188" s="191"/>
      <c r="CB188" s="191"/>
      <c r="CC188" s="191"/>
      <c r="CD188" s="191"/>
      <c r="CE188" s="191"/>
      <c r="CF188" s="191"/>
      <c r="CG188" s="191"/>
      <c r="CH188" s="191"/>
      <c r="CI188" s="191"/>
      <c r="CJ188" s="191"/>
      <c r="CK188" s="191"/>
      <c r="CL188" s="191"/>
      <c r="CM188" s="191"/>
      <c r="CN188" s="191"/>
      <c r="CO188" s="191"/>
      <c r="CP188" s="191"/>
      <c r="CQ188" s="191"/>
      <c r="CR188" s="191"/>
      <c r="CS188" s="191"/>
      <c r="CT188" s="191"/>
      <c r="CU188" s="191"/>
      <c r="CV188" s="191"/>
      <c r="CW188" s="191"/>
      <c r="CX188" s="191"/>
      <c r="CY188" s="191"/>
      <c r="CZ188" s="191"/>
      <c r="DA188" s="191"/>
      <c r="DB188" s="191"/>
      <c r="DC188" s="191"/>
      <c r="DD188" s="191"/>
      <c r="DE188" s="191"/>
      <c r="DF188" s="191"/>
      <c r="DG188" s="191"/>
      <c r="DH188" s="191"/>
      <c r="DI188" s="191"/>
      <c r="DJ188" s="191"/>
      <c r="DK188" s="191"/>
    </row>
    <row r="189" customFormat="false" ht="11.25" hidden="false" customHeight="true" outlineLevel="0" collapsed="false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189" t="s">
        <v>381</v>
      </c>
      <c r="L189" s="191"/>
      <c r="M189" s="189"/>
      <c r="N189" s="188"/>
      <c r="O189" s="189" t="s">
        <v>380</v>
      </c>
      <c r="P189" s="189"/>
      <c r="Q189" s="191"/>
      <c r="R189" s="194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  <c r="BK189" s="191"/>
      <c r="BL189" s="191"/>
      <c r="BM189" s="191"/>
      <c r="BN189" s="191"/>
      <c r="BO189" s="191"/>
      <c r="BP189" s="191"/>
      <c r="BQ189" s="191"/>
      <c r="BR189" s="191"/>
      <c r="BS189" s="191"/>
      <c r="BT189" s="191"/>
      <c r="BU189" s="191"/>
      <c r="BV189" s="191"/>
      <c r="BW189" s="191"/>
      <c r="BX189" s="191"/>
      <c r="BY189" s="191"/>
      <c r="BZ189" s="191"/>
      <c r="CA189" s="191"/>
      <c r="CB189" s="191"/>
      <c r="CC189" s="191"/>
      <c r="CD189" s="191"/>
      <c r="CE189" s="191"/>
      <c r="CF189" s="191"/>
      <c r="CG189" s="191"/>
      <c r="CH189" s="191"/>
      <c r="CI189" s="191"/>
      <c r="CJ189" s="191"/>
      <c r="CK189" s="191"/>
      <c r="CL189" s="191"/>
      <c r="CM189" s="191"/>
      <c r="CN189" s="191"/>
      <c r="CO189" s="191"/>
      <c r="CP189" s="191"/>
      <c r="CQ189" s="191"/>
      <c r="CR189" s="191"/>
      <c r="CS189" s="191"/>
      <c r="CT189" s="191"/>
      <c r="CU189" s="191"/>
      <c r="CV189" s="191"/>
      <c r="CW189" s="191"/>
      <c r="CX189" s="191"/>
      <c r="CY189" s="191"/>
      <c r="CZ189" s="191"/>
      <c r="DA189" s="191"/>
      <c r="DB189" s="191"/>
      <c r="DC189" s="191"/>
      <c r="DD189" s="191"/>
      <c r="DE189" s="191"/>
      <c r="DF189" s="191"/>
      <c r="DG189" s="191"/>
      <c r="DH189" s="191"/>
      <c r="DI189" s="191"/>
      <c r="DJ189" s="191"/>
      <c r="DK189" s="191"/>
    </row>
    <row r="190" customFormat="false" ht="11.25" hidden="false" customHeight="true" outlineLevel="0" collapsed="false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189" t="s">
        <v>382</v>
      </c>
      <c r="L190" s="191"/>
      <c r="M190" s="189"/>
      <c r="N190" s="188"/>
      <c r="O190" s="189" t="s">
        <v>381</v>
      </c>
      <c r="P190" s="189"/>
      <c r="Q190" s="191"/>
      <c r="R190" s="194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1"/>
      <c r="BN190" s="191"/>
      <c r="BO190" s="191"/>
      <c r="BP190" s="191"/>
      <c r="BQ190" s="191"/>
      <c r="BR190" s="191"/>
      <c r="BS190" s="191"/>
      <c r="BT190" s="191"/>
      <c r="BU190" s="191"/>
      <c r="BV190" s="191"/>
      <c r="BW190" s="191"/>
      <c r="BX190" s="191"/>
      <c r="BY190" s="191"/>
      <c r="BZ190" s="191"/>
      <c r="CA190" s="191"/>
      <c r="CB190" s="191"/>
      <c r="CC190" s="191"/>
      <c r="CD190" s="191"/>
      <c r="CE190" s="191"/>
      <c r="CF190" s="191"/>
      <c r="CG190" s="191"/>
      <c r="CH190" s="191"/>
      <c r="CI190" s="191"/>
      <c r="CJ190" s="191"/>
      <c r="CK190" s="191"/>
      <c r="CL190" s="191"/>
      <c r="CM190" s="191"/>
      <c r="CN190" s="191"/>
      <c r="CO190" s="191"/>
      <c r="CP190" s="191"/>
      <c r="CQ190" s="191"/>
      <c r="CR190" s="191"/>
      <c r="CS190" s="191"/>
      <c r="CT190" s="191"/>
      <c r="CU190" s="191"/>
      <c r="CV190" s="191"/>
      <c r="CW190" s="191"/>
      <c r="CX190" s="191"/>
      <c r="CY190" s="191"/>
      <c r="CZ190" s="191"/>
      <c r="DA190" s="191"/>
      <c r="DB190" s="191"/>
      <c r="DC190" s="191"/>
      <c r="DD190" s="191"/>
      <c r="DE190" s="191"/>
      <c r="DF190" s="191"/>
      <c r="DG190" s="191"/>
      <c r="DH190" s="191"/>
      <c r="DI190" s="191"/>
      <c r="DJ190" s="191"/>
      <c r="DK190" s="191"/>
    </row>
    <row r="191" customFormat="false" ht="11.25" hidden="false" customHeight="true" outlineLevel="0" collapsed="false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189" t="s">
        <v>383</v>
      </c>
      <c r="L191" s="191"/>
      <c r="M191" s="189"/>
      <c r="N191" s="188"/>
      <c r="O191" s="189" t="s">
        <v>382</v>
      </c>
      <c r="P191" s="189"/>
      <c r="Q191" s="191"/>
      <c r="R191" s="194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1"/>
      <c r="CJ191" s="191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1"/>
      <c r="CV191" s="191"/>
      <c r="CW191" s="191"/>
      <c r="CX191" s="191"/>
      <c r="CY191" s="191"/>
      <c r="CZ191" s="191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</row>
    <row r="192" customFormat="false" ht="11.25" hidden="false" customHeight="true" outlineLevel="0" collapsed="false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189" t="s">
        <v>384</v>
      </c>
      <c r="L192" s="191"/>
      <c r="M192" s="189"/>
      <c r="N192" s="188"/>
      <c r="O192" s="189" t="s">
        <v>383</v>
      </c>
      <c r="P192" s="189"/>
      <c r="Q192" s="191"/>
      <c r="R192" s="194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1"/>
      <c r="BN192" s="191"/>
      <c r="BO192" s="191"/>
      <c r="BP192" s="191"/>
      <c r="BQ192" s="191"/>
      <c r="BR192" s="191"/>
      <c r="BS192" s="191"/>
      <c r="BT192" s="191"/>
      <c r="BU192" s="191"/>
      <c r="BV192" s="191"/>
      <c r="BW192" s="191"/>
      <c r="BX192" s="191"/>
      <c r="BY192" s="191"/>
      <c r="BZ192" s="191"/>
      <c r="CA192" s="191"/>
      <c r="CB192" s="191"/>
      <c r="CC192" s="191"/>
      <c r="CD192" s="191"/>
      <c r="CE192" s="191"/>
      <c r="CF192" s="191"/>
      <c r="CG192" s="191"/>
      <c r="CH192" s="191"/>
      <c r="CI192" s="191"/>
      <c r="CJ192" s="191"/>
      <c r="CK192" s="191"/>
      <c r="CL192" s="191"/>
      <c r="CM192" s="191"/>
      <c r="CN192" s="191"/>
      <c r="CO192" s="191"/>
      <c r="CP192" s="191"/>
      <c r="CQ192" s="191"/>
      <c r="CR192" s="191"/>
      <c r="CS192" s="191"/>
      <c r="CT192" s="191"/>
      <c r="CU192" s="191"/>
      <c r="CV192" s="191"/>
      <c r="CW192" s="191"/>
      <c r="CX192" s="191"/>
      <c r="CY192" s="191"/>
      <c r="CZ192" s="191"/>
      <c r="DA192" s="191"/>
      <c r="DB192" s="191"/>
      <c r="DC192" s="191"/>
      <c r="DD192" s="191"/>
      <c r="DE192" s="191"/>
      <c r="DF192" s="191"/>
      <c r="DG192" s="191"/>
      <c r="DH192" s="191"/>
      <c r="DI192" s="191"/>
      <c r="DJ192" s="191"/>
      <c r="DK192" s="191"/>
    </row>
    <row r="193" customFormat="false" ht="11.25" hidden="false" customHeight="true" outlineLevel="0" collapsed="false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189" t="s">
        <v>385</v>
      </c>
      <c r="L193" s="191"/>
      <c r="M193" s="189"/>
      <c r="N193" s="188"/>
      <c r="O193" s="189" t="s">
        <v>384</v>
      </c>
      <c r="P193" s="189"/>
      <c r="Q193" s="191"/>
      <c r="R193" s="194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1"/>
      <c r="BN193" s="191"/>
      <c r="BO193" s="191"/>
      <c r="BP193" s="191"/>
      <c r="BQ193" s="191"/>
      <c r="BR193" s="191"/>
      <c r="BS193" s="191"/>
      <c r="BT193" s="191"/>
      <c r="BU193" s="191"/>
      <c r="BV193" s="191"/>
      <c r="BW193" s="191"/>
      <c r="BX193" s="191"/>
      <c r="BY193" s="191"/>
      <c r="BZ193" s="191"/>
      <c r="CA193" s="191"/>
      <c r="CB193" s="191"/>
      <c r="CC193" s="191"/>
      <c r="CD193" s="191"/>
      <c r="CE193" s="191"/>
      <c r="CF193" s="191"/>
      <c r="CG193" s="191"/>
      <c r="CH193" s="191"/>
      <c r="CI193" s="191"/>
      <c r="CJ193" s="191"/>
      <c r="CK193" s="191"/>
      <c r="CL193" s="191"/>
      <c r="CM193" s="191"/>
      <c r="CN193" s="191"/>
      <c r="CO193" s="191"/>
      <c r="CP193" s="191"/>
      <c r="CQ193" s="191"/>
      <c r="CR193" s="191"/>
      <c r="CS193" s="191"/>
      <c r="CT193" s="191"/>
      <c r="CU193" s="191"/>
      <c r="CV193" s="191"/>
      <c r="CW193" s="191"/>
      <c r="CX193" s="191"/>
      <c r="CY193" s="191"/>
      <c r="CZ193" s="191"/>
      <c r="DA193" s="191"/>
      <c r="DB193" s="191"/>
      <c r="DC193" s="191"/>
      <c r="DD193" s="191"/>
      <c r="DE193" s="191"/>
      <c r="DF193" s="191"/>
      <c r="DG193" s="191"/>
      <c r="DH193" s="191"/>
      <c r="DI193" s="191"/>
      <c r="DJ193" s="191"/>
      <c r="DK193" s="191"/>
    </row>
    <row r="194" customFormat="false" ht="11.25" hidden="false" customHeight="true" outlineLevel="0" collapsed="false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189" t="s">
        <v>386</v>
      </c>
      <c r="L194" s="191"/>
      <c r="M194" s="189"/>
      <c r="N194" s="188"/>
      <c r="O194" s="189" t="s">
        <v>385</v>
      </c>
      <c r="P194" s="189"/>
      <c r="Q194" s="191"/>
      <c r="R194" s="194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1"/>
      <c r="BN194" s="191"/>
      <c r="BO194" s="191"/>
      <c r="BP194" s="191"/>
      <c r="BQ194" s="191"/>
      <c r="BR194" s="191"/>
      <c r="BS194" s="191"/>
      <c r="BT194" s="191"/>
      <c r="BU194" s="191"/>
      <c r="BV194" s="191"/>
      <c r="BW194" s="191"/>
      <c r="BX194" s="191"/>
      <c r="BY194" s="191"/>
      <c r="BZ194" s="191"/>
      <c r="CA194" s="191"/>
      <c r="CB194" s="191"/>
      <c r="CC194" s="191"/>
      <c r="CD194" s="191"/>
      <c r="CE194" s="191"/>
      <c r="CF194" s="191"/>
      <c r="CG194" s="191"/>
      <c r="CH194" s="191"/>
      <c r="CI194" s="191"/>
      <c r="CJ194" s="191"/>
      <c r="CK194" s="191"/>
      <c r="CL194" s="191"/>
      <c r="CM194" s="191"/>
      <c r="CN194" s="191"/>
      <c r="CO194" s="191"/>
      <c r="CP194" s="191"/>
      <c r="CQ194" s="191"/>
      <c r="CR194" s="191"/>
      <c r="CS194" s="191"/>
      <c r="CT194" s="191"/>
      <c r="CU194" s="191"/>
      <c r="CV194" s="191"/>
      <c r="CW194" s="191"/>
      <c r="CX194" s="191"/>
      <c r="CY194" s="191"/>
      <c r="CZ194" s="191"/>
      <c r="DA194" s="191"/>
      <c r="DB194" s="191"/>
      <c r="DC194" s="191"/>
      <c r="DD194" s="191"/>
      <c r="DE194" s="191"/>
      <c r="DF194" s="191"/>
      <c r="DG194" s="191"/>
      <c r="DH194" s="191"/>
      <c r="DI194" s="191"/>
      <c r="DJ194" s="191"/>
      <c r="DK194" s="191"/>
    </row>
    <row r="195" customFormat="false" ht="11.25" hidden="false" customHeight="true" outlineLevel="0" collapsed="false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189" t="s">
        <v>387</v>
      </c>
      <c r="L195" s="191"/>
      <c r="M195" s="189"/>
      <c r="N195" s="188"/>
      <c r="O195" s="189" t="s">
        <v>386</v>
      </c>
      <c r="P195" s="189"/>
      <c r="Q195" s="191"/>
      <c r="R195" s="194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91"/>
      <c r="AZ195" s="191"/>
      <c r="BA195" s="191"/>
      <c r="BB195" s="191"/>
      <c r="BC195" s="191"/>
      <c r="BD195" s="191"/>
      <c r="BE195" s="191"/>
      <c r="BF195" s="191"/>
      <c r="BG195" s="191"/>
      <c r="BH195" s="191"/>
      <c r="BI195" s="191"/>
      <c r="BJ195" s="191"/>
      <c r="BK195" s="191"/>
      <c r="BL195" s="191"/>
      <c r="BM195" s="191"/>
      <c r="BN195" s="191"/>
      <c r="BO195" s="191"/>
      <c r="BP195" s="191"/>
      <c r="BQ195" s="191"/>
      <c r="BR195" s="191"/>
      <c r="BS195" s="191"/>
      <c r="BT195" s="191"/>
      <c r="BU195" s="191"/>
      <c r="BV195" s="191"/>
      <c r="BW195" s="191"/>
      <c r="BX195" s="191"/>
      <c r="BY195" s="191"/>
      <c r="BZ195" s="191"/>
      <c r="CA195" s="191"/>
      <c r="CB195" s="191"/>
      <c r="CC195" s="191"/>
      <c r="CD195" s="191"/>
      <c r="CE195" s="191"/>
      <c r="CF195" s="191"/>
      <c r="CG195" s="191"/>
      <c r="CH195" s="191"/>
      <c r="CI195" s="191"/>
      <c r="CJ195" s="191"/>
      <c r="CK195" s="191"/>
      <c r="CL195" s="191"/>
      <c r="CM195" s="191"/>
      <c r="CN195" s="191"/>
      <c r="CO195" s="191"/>
      <c r="CP195" s="191"/>
      <c r="CQ195" s="191"/>
      <c r="CR195" s="191"/>
      <c r="CS195" s="191"/>
      <c r="CT195" s="191"/>
      <c r="CU195" s="191"/>
      <c r="CV195" s="191"/>
      <c r="CW195" s="191"/>
      <c r="CX195" s="191"/>
      <c r="CY195" s="191"/>
      <c r="CZ195" s="191"/>
      <c r="DA195" s="191"/>
      <c r="DB195" s="191"/>
      <c r="DC195" s="191"/>
      <c r="DD195" s="191"/>
      <c r="DE195" s="191"/>
      <c r="DF195" s="191"/>
      <c r="DG195" s="191"/>
      <c r="DH195" s="191"/>
      <c r="DI195" s="191"/>
      <c r="DJ195" s="191"/>
      <c r="DK195" s="191"/>
    </row>
    <row r="196" customFormat="false" ht="11.25" hidden="false" customHeight="true" outlineLevel="0" collapsed="false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189" t="s">
        <v>388</v>
      </c>
      <c r="L196" s="191"/>
      <c r="M196" s="189"/>
      <c r="N196" s="188"/>
      <c r="O196" s="189" t="s">
        <v>387</v>
      </c>
      <c r="P196" s="189"/>
      <c r="Q196" s="191"/>
      <c r="R196" s="194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  <c r="BK196" s="191"/>
      <c r="BL196" s="191"/>
      <c r="BM196" s="191"/>
      <c r="BN196" s="191"/>
      <c r="BO196" s="191"/>
      <c r="BP196" s="191"/>
      <c r="BQ196" s="191"/>
      <c r="BR196" s="191"/>
      <c r="BS196" s="191"/>
      <c r="BT196" s="191"/>
      <c r="BU196" s="191"/>
      <c r="BV196" s="191"/>
      <c r="BW196" s="191"/>
      <c r="BX196" s="191"/>
      <c r="BY196" s="191"/>
      <c r="BZ196" s="191"/>
      <c r="CA196" s="191"/>
      <c r="CB196" s="191"/>
      <c r="CC196" s="191"/>
      <c r="CD196" s="191"/>
      <c r="CE196" s="191"/>
      <c r="CF196" s="191"/>
      <c r="CG196" s="191"/>
      <c r="CH196" s="191"/>
      <c r="CI196" s="191"/>
      <c r="CJ196" s="191"/>
      <c r="CK196" s="191"/>
      <c r="CL196" s="191"/>
      <c r="CM196" s="191"/>
      <c r="CN196" s="191"/>
      <c r="CO196" s="191"/>
      <c r="CP196" s="191"/>
      <c r="CQ196" s="191"/>
      <c r="CR196" s="191"/>
      <c r="CS196" s="191"/>
      <c r="CT196" s="191"/>
      <c r="CU196" s="191"/>
      <c r="CV196" s="191"/>
      <c r="CW196" s="191"/>
      <c r="CX196" s="191"/>
      <c r="CY196" s="191"/>
      <c r="CZ196" s="191"/>
      <c r="DA196" s="191"/>
      <c r="DB196" s="191"/>
      <c r="DC196" s="191"/>
      <c r="DD196" s="191"/>
      <c r="DE196" s="191"/>
      <c r="DF196" s="191"/>
      <c r="DG196" s="191"/>
      <c r="DH196" s="191"/>
      <c r="DI196" s="191"/>
      <c r="DJ196" s="191"/>
      <c r="DK196" s="191"/>
    </row>
    <row r="197" customFormat="false" ht="11.25" hidden="false" customHeight="true" outlineLevel="0" collapsed="false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189" t="s">
        <v>389</v>
      </c>
      <c r="L197" s="191"/>
      <c r="M197" s="189"/>
      <c r="N197" s="188"/>
      <c r="O197" s="189" t="s">
        <v>388</v>
      </c>
      <c r="P197" s="189"/>
      <c r="Q197" s="191"/>
      <c r="R197" s="194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1"/>
      <c r="AV197" s="191"/>
      <c r="AW197" s="191"/>
      <c r="AX197" s="191"/>
      <c r="AY197" s="191"/>
      <c r="AZ197" s="191"/>
      <c r="BA197" s="191"/>
      <c r="BB197" s="191"/>
      <c r="BC197" s="191"/>
      <c r="BD197" s="191"/>
      <c r="BE197" s="191"/>
      <c r="BF197" s="191"/>
      <c r="BG197" s="191"/>
      <c r="BH197" s="191"/>
      <c r="BI197" s="191"/>
      <c r="BJ197" s="191"/>
      <c r="BK197" s="191"/>
      <c r="BL197" s="191"/>
      <c r="BM197" s="191"/>
      <c r="BN197" s="191"/>
      <c r="BO197" s="191"/>
      <c r="BP197" s="191"/>
      <c r="BQ197" s="191"/>
      <c r="BR197" s="191"/>
      <c r="BS197" s="191"/>
      <c r="BT197" s="191"/>
      <c r="BU197" s="191"/>
      <c r="BV197" s="191"/>
      <c r="BW197" s="191"/>
      <c r="BX197" s="191"/>
      <c r="BY197" s="191"/>
      <c r="BZ197" s="191"/>
      <c r="CA197" s="191"/>
      <c r="CB197" s="191"/>
      <c r="CC197" s="191"/>
      <c r="CD197" s="191"/>
      <c r="CE197" s="191"/>
      <c r="CF197" s="191"/>
      <c r="CG197" s="191"/>
      <c r="CH197" s="191"/>
      <c r="CI197" s="191"/>
      <c r="CJ197" s="191"/>
      <c r="CK197" s="191"/>
      <c r="CL197" s="191"/>
      <c r="CM197" s="191"/>
      <c r="CN197" s="191"/>
      <c r="CO197" s="191"/>
      <c r="CP197" s="191"/>
      <c r="CQ197" s="191"/>
      <c r="CR197" s="191"/>
      <c r="CS197" s="191"/>
      <c r="CT197" s="191"/>
      <c r="CU197" s="191"/>
      <c r="CV197" s="191"/>
      <c r="CW197" s="191"/>
      <c r="CX197" s="191"/>
      <c r="CY197" s="191"/>
      <c r="CZ197" s="191"/>
      <c r="DA197" s="191"/>
      <c r="DB197" s="191"/>
      <c r="DC197" s="191"/>
      <c r="DD197" s="191"/>
      <c r="DE197" s="191"/>
      <c r="DF197" s="191"/>
      <c r="DG197" s="191"/>
      <c r="DH197" s="191"/>
      <c r="DI197" s="191"/>
      <c r="DJ197" s="191"/>
      <c r="DK197" s="191"/>
    </row>
    <row r="198" customFormat="false" ht="11.25" hidden="false" customHeight="true" outlineLevel="0" collapsed="false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185" t="s">
        <v>390</v>
      </c>
      <c r="L198" s="54"/>
      <c r="M198" s="54"/>
      <c r="N198" s="195"/>
      <c r="O198" s="189" t="s">
        <v>389</v>
      </c>
      <c r="P198" s="189"/>
      <c r="Q198" s="54"/>
      <c r="R198" s="196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</row>
    <row r="199" customFormat="false" ht="11.25" hidden="false" customHeight="true" outlineLevel="0" collapsed="false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185" t="s">
        <v>391</v>
      </c>
      <c r="L199" s="54"/>
      <c r="M199" s="54"/>
      <c r="N199" s="195"/>
      <c r="O199" s="185" t="s">
        <v>390</v>
      </c>
      <c r="P199" s="195"/>
      <c r="Q199" s="54"/>
      <c r="R199" s="196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</row>
    <row r="200" customFormat="false" ht="11.25" hidden="false" customHeight="true" outlineLevel="0" collapsed="false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185" t="s">
        <v>392</v>
      </c>
      <c r="L200" s="54"/>
      <c r="M200" s="54"/>
      <c r="N200" s="195"/>
      <c r="O200" s="185" t="s">
        <v>391</v>
      </c>
      <c r="P200" s="195"/>
      <c r="Q200" s="54"/>
      <c r="R200" s="196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</row>
    <row r="201" customFormat="false" ht="11.25" hidden="false" customHeight="true" outlineLevel="0" collapsed="false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185" t="s">
        <v>393</v>
      </c>
      <c r="L201" s="54"/>
      <c r="M201" s="54"/>
      <c r="N201" s="195"/>
      <c r="O201" s="185" t="s">
        <v>392</v>
      </c>
      <c r="P201" s="195"/>
      <c r="Q201" s="54"/>
      <c r="R201" s="196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</row>
    <row r="202" customFormat="false" ht="11.25" hidden="false" customHeight="true" outlineLevel="0" collapsed="false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185" t="s">
        <v>394</v>
      </c>
      <c r="L202" s="54"/>
      <c r="M202" s="54"/>
      <c r="N202" s="195"/>
      <c r="O202" s="185" t="s">
        <v>393</v>
      </c>
      <c r="P202" s="195"/>
      <c r="Q202" s="54"/>
      <c r="R202" s="196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</row>
    <row r="203" customFormat="false" ht="11.25" hidden="false" customHeight="true" outlineLevel="0" collapsed="false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185" t="s">
        <v>395</v>
      </c>
      <c r="L203" s="54"/>
      <c r="M203" s="54"/>
      <c r="N203" s="195"/>
      <c r="O203" s="185" t="s">
        <v>394</v>
      </c>
      <c r="P203" s="195"/>
      <c r="Q203" s="54"/>
      <c r="R203" s="196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</row>
    <row r="204" customFormat="false" ht="11.25" hidden="false" customHeight="true" outlineLevel="0" collapsed="false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185" t="s">
        <v>396</v>
      </c>
      <c r="L204" s="54"/>
      <c r="M204" s="54"/>
      <c r="N204" s="195"/>
      <c r="O204" s="185" t="s">
        <v>395</v>
      </c>
      <c r="P204" s="195"/>
      <c r="Q204" s="54"/>
      <c r="R204" s="196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</row>
    <row r="205" customFormat="false" ht="11.25" hidden="false" customHeight="true" outlineLevel="0" collapsed="false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185" t="s">
        <v>397</v>
      </c>
      <c r="L205" s="54"/>
      <c r="M205" s="54"/>
      <c r="N205" s="195"/>
      <c r="O205" s="185" t="s">
        <v>396</v>
      </c>
      <c r="P205" s="195"/>
      <c r="Q205" s="54"/>
      <c r="R205" s="196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</row>
    <row r="206" customFormat="false" ht="11.25" hidden="false" customHeight="true" outlineLevel="0" collapsed="false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185" t="s">
        <v>398</v>
      </c>
      <c r="L206" s="54"/>
      <c r="M206" s="54"/>
      <c r="N206" s="195"/>
      <c r="O206" s="185" t="s">
        <v>397</v>
      </c>
      <c r="P206" s="195"/>
      <c r="Q206" s="54"/>
      <c r="R206" s="196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</row>
    <row r="207" customFormat="false" ht="11.25" hidden="false" customHeight="true" outlineLevel="0" collapsed="false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185" t="s">
        <v>399</v>
      </c>
      <c r="L207" s="54"/>
      <c r="M207" s="54"/>
      <c r="N207" s="195"/>
      <c r="O207" s="185" t="s">
        <v>398</v>
      </c>
      <c r="P207" s="195"/>
      <c r="Q207" s="54"/>
      <c r="R207" s="196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</row>
    <row r="208" customFormat="false" ht="11.25" hidden="false" customHeight="true" outlineLevel="0" collapsed="false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185" t="s">
        <v>400</v>
      </c>
      <c r="L208" s="54"/>
      <c r="M208" s="54"/>
      <c r="N208" s="195"/>
      <c r="O208" s="185" t="s">
        <v>399</v>
      </c>
      <c r="P208" s="195"/>
      <c r="Q208" s="54"/>
      <c r="R208" s="196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</row>
    <row r="209" customFormat="false" ht="11.25" hidden="false" customHeight="true" outlineLevel="0" collapsed="false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185" t="s">
        <v>401</v>
      </c>
      <c r="L209" s="54"/>
      <c r="M209" s="54"/>
      <c r="N209" s="195"/>
      <c r="O209" s="185" t="s">
        <v>400</v>
      </c>
      <c r="P209" s="195"/>
      <c r="Q209" s="54"/>
      <c r="R209" s="196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</row>
    <row r="210" customFormat="false" ht="11.25" hidden="false" customHeight="true" outlineLevel="0" collapsed="false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185" t="s">
        <v>402</v>
      </c>
      <c r="L210" s="54"/>
      <c r="M210" s="54"/>
      <c r="N210" s="195"/>
      <c r="O210" s="185" t="s">
        <v>401</v>
      </c>
      <c r="P210" s="195"/>
      <c r="Q210" s="54"/>
      <c r="R210" s="196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</row>
    <row r="211" customFormat="false" ht="11.25" hidden="false" customHeight="true" outlineLevel="0" collapsed="false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185" t="s">
        <v>403</v>
      </c>
      <c r="L211" s="54"/>
      <c r="M211" s="54"/>
      <c r="N211" s="195"/>
      <c r="O211" s="185" t="s">
        <v>402</v>
      </c>
      <c r="P211" s="195"/>
      <c r="Q211" s="54"/>
      <c r="R211" s="196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</row>
    <row r="212" customFormat="false" ht="11.25" hidden="false" customHeight="true" outlineLevel="0" collapsed="false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185" t="s">
        <v>404</v>
      </c>
      <c r="L212" s="54"/>
      <c r="M212" s="54"/>
      <c r="N212" s="195"/>
      <c r="O212" s="185" t="s">
        <v>403</v>
      </c>
      <c r="P212" s="195"/>
      <c r="Q212" s="54"/>
      <c r="R212" s="196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</row>
    <row r="213" customFormat="false" ht="11.25" hidden="false" customHeight="true" outlineLevel="0" collapsed="false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185" t="s">
        <v>405</v>
      </c>
      <c r="L213" s="54"/>
      <c r="M213" s="54"/>
      <c r="N213" s="195"/>
      <c r="O213" s="185" t="s">
        <v>404</v>
      </c>
      <c r="P213" s="195"/>
      <c r="Q213" s="54"/>
      <c r="R213" s="196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</row>
    <row r="214" customFormat="false" ht="11.25" hidden="false" customHeight="true" outlineLevel="0" collapsed="false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185" t="s">
        <v>406</v>
      </c>
      <c r="L214" s="54"/>
      <c r="M214" s="54"/>
      <c r="N214" s="195"/>
      <c r="O214" s="185" t="s">
        <v>405</v>
      </c>
      <c r="P214" s="195"/>
      <c r="Q214" s="54"/>
      <c r="R214" s="196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</row>
    <row r="215" customFormat="false" ht="11.25" hidden="false" customHeight="true" outlineLevel="0" collapsed="false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185" t="s">
        <v>407</v>
      </c>
      <c r="L215" s="54"/>
      <c r="M215" s="54"/>
      <c r="N215" s="195"/>
      <c r="O215" s="185" t="s">
        <v>406</v>
      </c>
      <c r="P215" s="195"/>
      <c r="Q215" s="54"/>
      <c r="R215" s="196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</row>
    <row r="216" customFormat="false" ht="11.25" hidden="false" customHeight="true" outlineLevel="0" collapsed="false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185" t="s">
        <v>408</v>
      </c>
      <c r="L216" s="54"/>
      <c r="M216" s="54"/>
      <c r="N216" s="195"/>
      <c r="O216" s="185" t="s">
        <v>407</v>
      </c>
      <c r="P216" s="195"/>
      <c r="Q216" s="54"/>
      <c r="R216" s="196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</row>
    <row r="217" customFormat="false" ht="11.25" hidden="false" customHeight="true" outlineLevel="0" collapsed="false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185" t="s">
        <v>409</v>
      </c>
      <c r="L217" s="54"/>
      <c r="M217" s="54"/>
      <c r="N217" s="195"/>
      <c r="O217" s="185" t="s">
        <v>408</v>
      </c>
      <c r="P217" s="195"/>
      <c r="Q217" s="54"/>
      <c r="R217" s="196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</row>
    <row r="218" customFormat="false" ht="11.25" hidden="false" customHeight="true" outlineLevel="0" collapsed="false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185" t="s">
        <v>410</v>
      </c>
      <c r="L218" s="54"/>
      <c r="M218" s="54"/>
      <c r="N218" s="195"/>
      <c r="O218" s="185" t="s">
        <v>409</v>
      </c>
      <c r="P218" s="195"/>
      <c r="Q218" s="54"/>
      <c r="R218" s="196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</row>
    <row r="219" customFormat="false" ht="11.25" hidden="false" customHeight="true" outlineLevel="0" collapsed="false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185" t="s">
        <v>411</v>
      </c>
      <c r="L219" s="54"/>
      <c r="M219" s="54"/>
      <c r="N219" s="195"/>
      <c r="O219" s="185" t="s">
        <v>410</v>
      </c>
      <c r="P219" s="195"/>
      <c r="Q219" s="54"/>
      <c r="R219" s="196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</row>
    <row r="220" customFormat="false" ht="11.25" hidden="false" customHeight="true" outlineLevel="0" collapsed="false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185" t="s">
        <v>412</v>
      </c>
      <c r="L220" s="54"/>
      <c r="M220" s="54"/>
      <c r="N220" s="195"/>
      <c r="O220" s="185" t="s">
        <v>411</v>
      </c>
      <c r="P220" s="195"/>
      <c r="Q220" s="54"/>
      <c r="R220" s="196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</row>
    <row r="221" customFormat="false" ht="11.25" hidden="false" customHeight="true" outlineLevel="0" collapsed="false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185" t="s">
        <v>413</v>
      </c>
      <c r="L221" s="54"/>
      <c r="M221" s="54"/>
      <c r="N221" s="195"/>
      <c r="O221" s="185" t="s">
        <v>412</v>
      </c>
      <c r="P221" s="195"/>
      <c r="Q221" s="54"/>
      <c r="R221" s="196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</row>
    <row r="222" customFormat="false" ht="11.25" hidden="false" customHeight="true" outlineLevel="0" collapsed="false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185" t="s">
        <v>414</v>
      </c>
      <c r="L222" s="54"/>
      <c r="M222" s="54"/>
      <c r="N222" s="195"/>
      <c r="O222" s="185" t="s">
        <v>413</v>
      </c>
      <c r="P222" s="195"/>
      <c r="Q222" s="54"/>
      <c r="R222" s="196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</row>
    <row r="223" customFormat="false" ht="11.25" hidden="false" customHeight="true" outlineLevel="0" collapsed="false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185" t="s">
        <v>415</v>
      </c>
      <c r="L223" s="54"/>
      <c r="M223" s="54"/>
      <c r="N223" s="195"/>
      <c r="O223" s="185" t="s">
        <v>414</v>
      </c>
      <c r="P223" s="195"/>
      <c r="Q223" s="54"/>
      <c r="R223" s="196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</row>
    <row r="224" customFormat="false" ht="11.25" hidden="false" customHeight="true" outlineLevel="0" collapsed="false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185" t="s">
        <v>416</v>
      </c>
      <c r="L224" s="54"/>
      <c r="M224" s="54"/>
      <c r="N224" s="195"/>
      <c r="O224" s="185" t="s">
        <v>415</v>
      </c>
      <c r="P224" s="195"/>
      <c r="Q224" s="54"/>
      <c r="R224" s="196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</row>
    <row r="225" customFormat="false" ht="11.25" hidden="false" customHeight="true" outlineLevel="0" collapsed="false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185" t="s">
        <v>1</v>
      </c>
      <c r="L225" s="54"/>
      <c r="M225" s="54"/>
      <c r="N225" s="195"/>
      <c r="O225" s="185" t="s">
        <v>416</v>
      </c>
      <c r="P225" s="195"/>
      <c r="Q225" s="54"/>
      <c r="R225" s="196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</row>
    <row r="226" customFormat="false" ht="11.25" hidden="false" customHeight="true" outlineLevel="0" collapsed="false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185" t="s">
        <v>417</v>
      </c>
      <c r="L226" s="54"/>
      <c r="M226" s="54"/>
      <c r="N226" s="195"/>
      <c r="O226" s="185" t="s">
        <v>1</v>
      </c>
      <c r="P226" s="195"/>
      <c r="Q226" s="54"/>
      <c r="R226" s="196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</row>
    <row r="227" customFormat="false" ht="11.25" hidden="false" customHeight="true" outlineLevel="0" collapsed="false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185" t="s">
        <v>418</v>
      </c>
      <c r="L227" s="54"/>
      <c r="M227" s="54"/>
      <c r="N227" s="195"/>
      <c r="O227" s="185" t="s">
        <v>417</v>
      </c>
      <c r="P227" s="195"/>
      <c r="Q227" s="54"/>
      <c r="R227" s="196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</row>
    <row r="228" customFormat="false" ht="11.25" hidden="false" customHeight="true" outlineLevel="0" collapsed="false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185" t="s">
        <v>419</v>
      </c>
      <c r="L228" s="54"/>
      <c r="M228" s="54"/>
      <c r="N228" s="195"/>
      <c r="O228" s="185" t="s">
        <v>418</v>
      </c>
      <c r="P228" s="195"/>
      <c r="Q228" s="54"/>
      <c r="R228" s="196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</row>
    <row r="229" customFormat="false" ht="11.25" hidden="false" customHeight="true" outlineLevel="0" collapsed="false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185" t="s">
        <v>420</v>
      </c>
      <c r="L229" s="54"/>
      <c r="M229" s="54"/>
      <c r="N229" s="195"/>
      <c r="O229" s="185" t="s">
        <v>419</v>
      </c>
      <c r="P229" s="195"/>
      <c r="Q229" s="54"/>
      <c r="R229" s="196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</row>
    <row r="230" customFormat="false" ht="11.25" hidden="false" customHeight="true" outlineLevel="0" collapsed="false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185" t="s">
        <v>421</v>
      </c>
      <c r="L230" s="54"/>
      <c r="M230" s="54"/>
      <c r="N230" s="195"/>
      <c r="O230" s="185" t="s">
        <v>420</v>
      </c>
      <c r="P230" s="195"/>
      <c r="Q230" s="54"/>
      <c r="R230" s="196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</row>
    <row r="231" customFormat="false" ht="11.25" hidden="false" customHeight="true" outlineLevel="0" collapsed="false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185" t="s">
        <v>422</v>
      </c>
      <c r="L231" s="54"/>
      <c r="M231" s="54"/>
      <c r="N231" s="195"/>
      <c r="O231" s="185" t="s">
        <v>421</v>
      </c>
      <c r="P231" s="195"/>
      <c r="Q231" s="54"/>
      <c r="R231" s="196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</row>
    <row r="232" customFormat="false" ht="11.25" hidden="false" customHeight="true" outlineLevel="0" collapsed="false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185" t="s">
        <v>423</v>
      </c>
      <c r="L232" s="54"/>
      <c r="M232" s="54"/>
      <c r="N232" s="195"/>
      <c r="O232" s="185" t="s">
        <v>422</v>
      </c>
      <c r="P232" s="195"/>
      <c r="Q232" s="54"/>
      <c r="R232" s="196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</row>
    <row r="233" customFormat="false" ht="11.25" hidden="false" customHeight="true" outlineLevel="0" collapsed="false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185" t="s">
        <v>424</v>
      </c>
      <c r="L233" s="54"/>
      <c r="M233" s="54"/>
      <c r="N233" s="195"/>
      <c r="O233" s="185" t="s">
        <v>423</v>
      </c>
      <c r="P233" s="195"/>
      <c r="Q233" s="54"/>
      <c r="R233" s="196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</row>
    <row r="234" customFormat="false" ht="11.25" hidden="false" customHeight="true" outlineLevel="0" collapsed="false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185" t="s">
        <v>425</v>
      </c>
      <c r="L234" s="54"/>
      <c r="M234" s="54"/>
      <c r="N234" s="195"/>
      <c r="O234" s="185" t="s">
        <v>424</v>
      </c>
      <c r="P234" s="195"/>
      <c r="Q234" s="54"/>
      <c r="R234" s="196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</row>
    <row r="235" customFormat="false" ht="11.25" hidden="false" customHeight="true" outlineLevel="0" collapsed="false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185" t="s">
        <v>426</v>
      </c>
      <c r="L235" s="54"/>
      <c r="M235" s="54"/>
      <c r="N235" s="195"/>
      <c r="O235" s="185" t="s">
        <v>425</v>
      </c>
      <c r="P235" s="195"/>
      <c r="Q235" s="54"/>
      <c r="R235" s="196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</row>
    <row r="236" customFormat="false" ht="11.25" hidden="false" customHeight="true" outlineLevel="0" collapsed="false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185" t="s">
        <v>427</v>
      </c>
      <c r="L236" s="54"/>
      <c r="M236" s="54"/>
      <c r="N236" s="195"/>
      <c r="O236" s="185" t="s">
        <v>426</v>
      </c>
      <c r="P236" s="195"/>
      <c r="Q236" s="54"/>
      <c r="R236" s="196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</row>
    <row r="237" customFormat="false" ht="11.25" hidden="false" customHeight="true" outlineLevel="0" collapsed="false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185" t="s">
        <v>428</v>
      </c>
      <c r="L237" s="54"/>
      <c r="M237" s="54"/>
      <c r="N237" s="195"/>
      <c r="O237" s="185" t="s">
        <v>427</v>
      </c>
      <c r="P237" s="195"/>
      <c r="Q237" s="54"/>
      <c r="R237" s="196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</row>
    <row r="238" customFormat="false" ht="11.25" hidden="false" customHeight="true" outlineLevel="0" collapsed="false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185" t="s">
        <v>429</v>
      </c>
      <c r="L238" s="54"/>
      <c r="M238" s="54"/>
      <c r="N238" s="195"/>
      <c r="O238" s="185" t="s">
        <v>428</v>
      </c>
      <c r="P238" s="195"/>
      <c r="Q238" s="54"/>
      <c r="R238" s="196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</row>
    <row r="239" customFormat="false" ht="11.25" hidden="false" customHeight="true" outlineLevel="0" collapsed="false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185" t="s">
        <v>430</v>
      </c>
      <c r="L239" s="54"/>
      <c r="M239" s="54"/>
      <c r="N239" s="195"/>
      <c r="O239" s="185" t="s">
        <v>429</v>
      </c>
      <c r="P239" s="195"/>
      <c r="Q239" s="54"/>
      <c r="R239" s="196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</row>
    <row r="240" customFormat="false" ht="11.25" hidden="false" customHeight="true" outlineLevel="0" collapsed="false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185" t="s">
        <v>431</v>
      </c>
      <c r="L240" s="54"/>
      <c r="M240" s="54"/>
      <c r="N240" s="195"/>
      <c r="O240" s="185" t="s">
        <v>430</v>
      </c>
      <c r="P240" s="195"/>
      <c r="Q240" s="54"/>
      <c r="R240" s="196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</row>
    <row r="241" customFormat="false" ht="11.25" hidden="false" customHeight="true" outlineLevel="0" collapsed="false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185" t="s">
        <v>432</v>
      </c>
      <c r="L241" s="54"/>
      <c r="M241" s="54"/>
      <c r="N241" s="195"/>
      <c r="O241" s="185" t="s">
        <v>431</v>
      </c>
      <c r="P241" s="195"/>
      <c r="Q241" s="54"/>
      <c r="R241" s="196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</row>
    <row r="242" customFormat="false" ht="11.25" hidden="false" customHeight="true" outlineLevel="0" collapsed="false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185" t="s">
        <v>433</v>
      </c>
      <c r="L242" s="54"/>
      <c r="M242" s="54"/>
      <c r="N242" s="195"/>
      <c r="O242" s="185" t="s">
        <v>432</v>
      </c>
      <c r="P242" s="195"/>
      <c r="Q242" s="54"/>
      <c r="R242" s="196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</row>
    <row r="243" customFormat="false" ht="11.25" hidden="false" customHeight="true" outlineLevel="0" collapsed="false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185" t="s">
        <v>434</v>
      </c>
      <c r="L243" s="54"/>
      <c r="M243" s="54"/>
      <c r="N243" s="195"/>
      <c r="O243" s="185" t="s">
        <v>433</v>
      </c>
      <c r="P243" s="195"/>
      <c r="Q243" s="54"/>
      <c r="R243" s="196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</row>
    <row r="244" customFormat="false" ht="11.25" hidden="false" customHeight="true" outlineLevel="0" collapsed="false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185" t="s">
        <v>435</v>
      </c>
      <c r="L244" s="54"/>
      <c r="M244" s="54"/>
      <c r="N244" s="195"/>
      <c r="O244" s="185" t="s">
        <v>434</v>
      </c>
      <c r="P244" s="195"/>
      <c r="Q244" s="54"/>
      <c r="R244" s="196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</row>
    <row r="245" customFormat="false" ht="11.25" hidden="false" customHeight="true" outlineLevel="0" collapsed="false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185" t="s">
        <v>436</v>
      </c>
      <c r="L245" s="54"/>
      <c r="M245" s="54"/>
      <c r="N245" s="195"/>
      <c r="O245" s="185" t="s">
        <v>435</v>
      </c>
      <c r="P245" s="195"/>
      <c r="Q245" s="54"/>
      <c r="R245" s="196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</row>
    <row r="246" customFormat="false" ht="11.25" hidden="false" customHeight="true" outlineLevel="0" collapsed="false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185" t="s">
        <v>437</v>
      </c>
      <c r="L246" s="54"/>
      <c r="M246" s="54"/>
      <c r="N246" s="195"/>
      <c r="O246" s="185" t="s">
        <v>436</v>
      </c>
      <c r="P246" s="195"/>
      <c r="Q246" s="54"/>
      <c r="R246" s="196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</row>
    <row r="247" customFormat="false" ht="11.25" hidden="false" customHeight="true" outlineLevel="0" collapsed="false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185" t="s">
        <v>438</v>
      </c>
      <c r="L247" s="54"/>
      <c r="M247" s="54"/>
      <c r="N247" s="195"/>
      <c r="O247" s="185" t="s">
        <v>437</v>
      </c>
      <c r="P247" s="195"/>
      <c r="Q247" s="54"/>
      <c r="R247" s="196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</row>
    <row r="248" customFormat="false" ht="11.25" hidden="false" customHeight="true" outlineLevel="0" collapsed="false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185" t="s">
        <v>439</v>
      </c>
      <c r="L248" s="54"/>
      <c r="M248" s="54"/>
      <c r="N248" s="195"/>
      <c r="O248" s="185" t="s">
        <v>438</v>
      </c>
      <c r="P248" s="195"/>
      <c r="Q248" s="54"/>
      <c r="R248" s="196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</row>
    <row r="249" customFormat="false" ht="11.25" hidden="false" customHeight="true" outlineLevel="0" collapsed="false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185" t="s">
        <v>440</v>
      </c>
      <c r="L249" s="54"/>
      <c r="M249" s="54"/>
      <c r="N249" s="195"/>
      <c r="O249" s="185" t="s">
        <v>439</v>
      </c>
      <c r="P249" s="195"/>
      <c r="Q249" s="54"/>
      <c r="R249" s="196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</row>
    <row r="250" customFormat="false" ht="11.25" hidden="false" customHeight="true" outlineLevel="0" collapsed="false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185" t="s">
        <v>441</v>
      </c>
      <c r="L250" s="54"/>
      <c r="M250" s="54"/>
      <c r="N250" s="195"/>
      <c r="O250" s="185" t="s">
        <v>440</v>
      </c>
      <c r="P250" s="195"/>
      <c r="Q250" s="54"/>
      <c r="R250" s="196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</row>
    <row r="251" customFormat="false" ht="11.25" hidden="false" customHeight="true" outlineLevel="0" collapsed="false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185" t="s">
        <v>442</v>
      </c>
      <c r="L251" s="54"/>
      <c r="M251" s="54"/>
      <c r="N251" s="195"/>
      <c r="O251" s="185" t="s">
        <v>441</v>
      </c>
      <c r="P251" s="195"/>
      <c r="Q251" s="54"/>
      <c r="R251" s="196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</row>
    <row r="252" customFormat="false" ht="11.25" hidden="false" customHeight="true" outlineLevel="0" collapsed="false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185" t="s">
        <v>443</v>
      </c>
      <c r="L252" s="54"/>
      <c r="M252" s="54"/>
      <c r="N252" s="195"/>
      <c r="O252" s="185" t="s">
        <v>442</v>
      </c>
      <c r="P252" s="195"/>
      <c r="Q252" s="54"/>
      <c r="R252" s="196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</row>
    <row r="253" customFormat="false" ht="11.25" hidden="false" customHeight="true" outlineLevel="0" collapsed="false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185" t="s">
        <v>444</v>
      </c>
      <c r="L253" s="54"/>
      <c r="M253" s="54"/>
      <c r="N253" s="195"/>
      <c r="O253" s="185" t="s">
        <v>443</v>
      </c>
      <c r="P253" s="195"/>
      <c r="Q253" s="54"/>
      <c r="R253" s="196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</row>
    <row r="254" customFormat="false" ht="11.25" hidden="false" customHeight="true" outlineLevel="0" collapsed="false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185" t="s">
        <v>445</v>
      </c>
      <c r="L254" s="54"/>
      <c r="M254" s="54"/>
      <c r="N254" s="195"/>
      <c r="O254" s="185" t="s">
        <v>444</v>
      </c>
      <c r="P254" s="195"/>
      <c r="Q254" s="54"/>
      <c r="R254" s="196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</row>
    <row r="255" customFormat="false" ht="11.25" hidden="false" customHeight="true" outlineLevel="0" collapsed="false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185" t="s">
        <v>446</v>
      </c>
      <c r="L255" s="54"/>
      <c r="M255" s="54"/>
      <c r="N255" s="195"/>
      <c r="O255" s="185" t="s">
        <v>445</v>
      </c>
      <c r="P255" s="195"/>
      <c r="Q255" s="54"/>
      <c r="R255" s="196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</row>
    <row r="256" customFormat="false" ht="11.25" hidden="false" customHeight="true" outlineLevel="0" collapsed="false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185" t="s">
        <v>447</v>
      </c>
      <c r="L256" s="54"/>
      <c r="M256" s="54"/>
      <c r="N256" s="195"/>
      <c r="O256" s="185" t="s">
        <v>446</v>
      </c>
      <c r="P256" s="195"/>
      <c r="Q256" s="54"/>
      <c r="R256" s="196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</row>
    <row r="257" customFormat="false" ht="11.25" hidden="false" customHeight="true" outlineLevel="0" collapsed="false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185" t="s">
        <v>448</v>
      </c>
      <c r="L257" s="54"/>
      <c r="M257" s="54"/>
      <c r="N257" s="195"/>
      <c r="O257" s="185" t="s">
        <v>447</v>
      </c>
      <c r="P257" s="195"/>
      <c r="Q257" s="54"/>
      <c r="R257" s="196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</row>
    <row r="258" customFormat="false" ht="11.25" hidden="false" customHeight="true" outlineLevel="0" collapsed="false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185" t="s">
        <v>449</v>
      </c>
      <c r="L258" s="54"/>
      <c r="M258" s="54"/>
      <c r="N258" s="195"/>
      <c r="O258" s="185" t="s">
        <v>448</v>
      </c>
      <c r="P258" s="195"/>
      <c r="Q258" s="54"/>
      <c r="R258" s="196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</row>
    <row r="259" customFormat="false" ht="11.25" hidden="false" customHeight="true" outlineLevel="0" collapsed="false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185" t="s">
        <v>450</v>
      </c>
      <c r="L259" s="54"/>
      <c r="M259" s="54"/>
      <c r="N259" s="195"/>
      <c r="O259" s="185" t="s">
        <v>449</v>
      </c>
      <c r="P259" s="195"/>
      <c r="Q259" s="54"/>
      <c r="R259" s="196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</row>
    <row r="260" customFormat="false" ht="11.25" hidden="false" customHeight="true" outlineLevel="0" collapsed="false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185" t="s">
        <v>451</v>
      </c>
      <c r="L260" s="54"/>
      <c r="M260" s="54"/>
      <c r="N260" s="195"/>
      <c r="O260" s="185" t="s">
        <v>450</v>
      </c>
      <c r="P260" s="195"/>
      <c r="Q260" s="54"/>
      <c r="R260" s="196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</row>
    <row r="261" customFormat="false" ht="11.25" hidden="false" customHeight="true" outlineLevel="0" collapsed="false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185" t="s">
        <v>452</v>
      </c>
      <c r="L261" s="54"/>
      <c r="M261" s="54"/>
      <c r="N261" s="195"/>
      <c r="O261" s="185" t="s">
        <v>451</v>
      </c>
      <c r="P261" s="195"/>
      <c r="Q261" s="54"/>
      <c r="R261" s="196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</row>
    <row r="262" customFormat="false" ht="11.25" hidden="false" customHeight="true" outlineLevel="0" collapsed="false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185" t="s">
        <v>453</v>
      </c>
      <c r="L262" s="54"/>
      <c r="M262" s="54"/>
      <c r="N262" s="195"/>
      <c r="O262" s="185" t="s">
        <v>452</v>
      </c>
      <c r="P262" s="195"/>
      <c r="Q262" s="54"/>
      <c r="R262" s="196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</row>
    <row r="263" customFormat="false" ht="11.25" hidden="false" customHeight="true" outlineLevel="0" collapsed="false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185" t="s">
        <v>454</v>
      </c>
      <c r="L263" s="54"/>
      <c r="M263" s="54"/>
      <c r="N263" s="195"/>
      <c r="O263" s="185" t="s">
        <v>453</v>
      </c>
      <c r="P263" s="195"/>
      <c r="Q263" s="54"/>
      <c r="R263" s="196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</row>
    <row r="264" customFormat="false" ht="11.25" hidden="false" customHeight="true" outlineLevel="0" collapsed="false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185" t="s">
        <v>455</v>
      </c>
      <c r="L264" s="54"/>
      <c r="M264" s="54"/>
      <c r="N264" s="195"/>
      <c r="O264" s="185" t="s">
        <v>454</v>
      </c>
      <c r="P264" s="195"/>
      <c r="Q264" s="54"/>
      <c r="R264" s="196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</row>
    <row r="265" customFormat="false" ht="11.25" hidden="false" customHeight="true" outlineLevel="0" collapsed="false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185" t="s">
        <v>456</v>
      </c>
      <c r="L265" s="54"/>
      <c r="M265" s="54"/>
      <c r="N265" s="195"/>
      <c r="O265" s="185" t="s">
        <v>455</v>
      </c>
      <c r="P265" s="195"/>
      <c r="Q265" s="54"/>
      <c r="R265" s="196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</row>
    <row r="266" customFormat="false" ht="11.25" hidden="false" customHeight="true" outlineLevel="0" collapsed="false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185" t="s">
        <v>457</v>
      </c>
      <c r="L266" s="54"/>
      <c r="M266" s="54"/>
      <c r="N266" s="195"/>
      <c r="O266" s="185" t="s">
        <v>456</v>
      </c>
      <c r="P266" s="195"/>
      <c r="Q266" s="54"/>
      <c r="R266" s="196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</row>
    <row r="267" customFormat="false" ht="11.25" hidden="false" customHeight="true" outlineLevel="0" collapsed="false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185" t="s">
        <v>458</v>
      </c>
      <c r="L267" s="54"/>
      <c r="M267" s="54"/>
      <c r="N267" s="195"/>
      <c r="O267" s="185" t="s">
        <v>457</v>
      </c>
      <c r="P267" s="195"/>
      <c r="Q267" s="54"/>
      <c r="R267" s="196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</row>
    <row r="268" customFormat="false" ht="11.25" hidden="false" customHeight="true" outlineLevel="0" collapsed="false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185" t="s">
        <v>459</v>
      </c>
      <c r="L268" s="54"/>
      <c r="M268" s="54"/>
      <c r="N268" s="195"/>
      <c r="O268" s="185" t="s">
        <v>458</v>
      </c>
      <c r="P268" s="195"/>
      <c r="Q268" s="54"/>
      <c r="R268" s="196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</row>
    <row r="269" customFormat="false" ht="11.25" hidden="false" customHeight="true" outlineLevel="0" collapsed="false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185" t="s">
        <v>460</v>
      </c>
      <c r="L269" s="54"/>
      <c r="M269" s="54"/>
      <c r="N269" s="195"/>
      <c r="O269" s="185" t="s">
        <v>459</v>
      </c>
      <c r="P269" s="195"/>
      <c r="Q269" s="54"/>
      <c r="R269" s="196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</row>
    <row r="270" customFormat="false" ht="11.25" hidden="false" customHeight="true" outlineLevel="0" collapsed="false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185" t="s">
        <v>461</v>
      </c>
      <c r="L270" s="54"/>
      <c r="M270" s="54"/>
      <c r="N270" s="195"/>
      <c r="O270" s="185" t="s">
        <v>460</v>
      </c>
      <c r="P270" s="195"/>
      <c r="Q270" s="54"/>
      <c r="R270" s="196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</row>
    <row r="271" customFormat="false" ht="11.25" hidden="false" customHeight="true" outlineLevel="0" collapsed="false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185" t="s">
        <v>462</v>
      </c>
      <c r="L271" s="54"/>
      <c r="M271" s="54"/>
      <c r="N271" s="195"/>
      <c r="O271" s="185" t="s">
        <v>461</v>
      </c>
      <c r="P271" s="195"/>
      <c r="Q271" s="54"/>
      <c r="R271" s="196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</row>
    <row r="272" customFormat="false" ht="11.25" hidden="false" customHeight="true" outlineLevel="0" collapsed="false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185" t="s">
        <v>463</v>
      </c>
      <c r="L272" s="54"/>
      <c r="M272" s="54"/>
      <c r="N272" s="195"/>
      <c r="O272" s="185" t="s">
        <v>462</v>
      </c>
      <c r="P272" s="195"/>
      <c r="Q272" s="54"/>
      <c r="R272" s="196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</row>
    <row r="273" customFormat="false" ht="11.25" hidden="false" customHeight="true" outlineLevel="0" collapsed="false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185" t="s">
        <v>464</v>
      </c>
      <c r="L273" s="54"/>
      <c r="M273" s="54"/>
      <c r="N273" s="195"/>
      <c r="O273" s="185" t="s">
        <v>463</v>
      </c>
      <c r="P273" s="195"/>
      <c r="Q273" s="54"/>
      <c r="R273" s="196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</row>
    <row r="274" customFormat="false" ht="11.25" hidden="false" customHeight="true" outlineLevel="0" collapsed="false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185" t="s">
        <v>465</v>
      </c>
      <c r="L274" s="54"/>
      <c r="M274" s="54"/>
      <c r="N274" s="195"/>
      <c r="O274" s="185" t="s">
        <v>464</v>
      </c>
      <c r="P274" s="195"/>
      <c r="Q274" s="54"/>
      <c r="R274" s="196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</row>
    <row r="275" customFormat="false" ht="11.25" hidden="false" customHeight="true" outlineLevel="0" collapsed="false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185" t="s">
        <v>466</v>
      </c>
      <c r="L275" s="54"/>
      <c r="M275" s="54"/>
      <c r="N275" s="195"/>
      <c r="O275" s="185" t="s">
        <v>465</v>
      </c>
      <c r="P275" s="195"/>
      <c r="Q275" s="54"/>
      <c r="R275" s="196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</row>
    <row r="276" customFormat="false" ht="11.25" hidden="false" customHeight="true" outlineLevel="0" collapsed="false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185" t="s">
        <v>467</v>
      </c>
      <c r="L276" s="54"/>
      <c r="M276" s="54"/>
      <c r="N276" s="195"/>
      <c r="O276" s="185" t="s">
        <v>466</v>
      </c>
      <c r="P276" s="195"/>
      <c r="Q276" s="54"/>
      <c r="R276" s="196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</row>
    <row r="277" customFormat="false" ht="11.25" hidden="false" customHeight="true" outlineLevel="0" collapsed="false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185" t="s">
        <v>468</v>
      </c>
      <c r="L277" s="54"/>
      <c r="M277" s="54"/>
      <c r="N277" s="195"/>
      <c r="O277" s="185" t="s">
        <v>467</v>
      </c>
      <c r="P277" s="195"/>
      <c r="Q277" s="54"/>
      <c r="R277" s="196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</row>
    <row r="278" customFormat="false" ht="11.25" hidden="false" customHeight="true" outlineLevel="0" collapsed="false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185" t="s">
        <v>469</v>
      </c>
      <c r="L278" s="54"/>
      <c r="M278" s="54"/>
      <c r="N278" s="195"/>
      <c r="O278" s="185" t="s">
        <v>468</v>
      </c>
      <c r="P278" s="195"/>
      <c r="Q278" s="54"/>
      <c r="R278" s="196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</row>
    <row r="279" customFormat="false" ht="11.25" hidden="false" customHeight="true" outlineLevel="0" collapsed="false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185" t="s">
        <v>470</v>
      </c>
      <c r="L279" s="54"/>
      <c r="M279" s="54"/>
      <c r="N279" s="195"/>
      <c r="O279" s="185" t="s">
        <v>469</v>
      </c>
      <c r="P279" s="195"/>
      <c r="Q279" s="54"/>
      <c r="R279" s="196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</row>
    <row r="280" customFormat="false" ht="11.25" hidden="false" customHeight="true" outlineLevel="0" collapsed="false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185" t="s">
        <v>471</v>
      </c>
      <c r="L280" s="54"/>
      <c r="M280" s="54"/>
      <c r="N280" s="195"/>
      <c r="O280" s="185" t="s">
        <v>470</v>
      </c>
      <c r="P280" s="195"/>
      <c r="Q280" s="54"/>
      <c r="R280" s="196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</row>
    <row r="281" customFormat="false" ht="11.25" hidden="false" customHeight="true" outlineLevel="0" collapsed="false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185" t="s">
        <v>472</v>
      </c>
      <c r="L281" s="54"/>
      <c r="M281" s="54"/>
      <c r="N281" s="195"/>
      <c r="O281" s="185" t="s">
        <v>471</v>
      </c>
      <c r="P281" s="195"/>
      <c r="Q281" s="54"/>
      <c r="R281" s="196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</row>
    <row r="282" customFormat="false" ht="11.25" hidden="false" customHeight="true" outlineLevel="0" collapsed="false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185" t="s">
        <v>473</v>
      </c>
      <c r="L282" s="54"/>
      <c r="M282" s="54"/>
      <c r="N282" s="195"/>
      <c r="O282" s="185" t="s">
        <v>472</v>
      </c>
      <c r="P282" s="195"/>
      <c r="Q282" s="54"/>
      <c r="R282" s="196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</row>
    <row r="283" customFormat="false" ht="11.25" hidden="false" customHeight="true" outlineLevel="0" collapsed="false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185" t="s">
        <v>474</v>
      </c>
      <c r="L283" s="54"/>
      <c r="M283" s="54"/>
      <c r="N283" s="195"/>
      <c r="O283" s="185" t="s">
        <v>473</v>
      </c>
      <c r="P283" s="195"/>
      <c r="Q283" s="54"/>
      <c r="R283" s="196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</row>
    <row r="284" customFormat="false" ht="11.25" hidden="false" customHeight="true" outlineLevel="0" collapsed="false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185" t="s">
        <v>475</v>
      </c>
      <c r="L284" s="54"/>
      <c r="M284" s="54"/>
      <c r="N284" s="195"/>
      <c r="O284" s="185" t="s">
        <v>474</v>
      </c>
      <c r="P284" s="195"/>
      <c r="Q284" s="54"/>
      <c r="R284" s="196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</row>
    <row r="285" customFormat="false" ht="11.25" hidden="false" customHeight="true" outlineLevel="0" collapsed="false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185" t="s">
        <v>476</v>
      </c>
      <c r="L285" s="54"/>
      <c r="M285" s="54"/>
      <c r="N285" s="195"/>
      <c r="O285" s="185" t="s">
        <v>475</v>
      </c>
      <c r="P285" s="195"/>
      <c r="Q285" s="54"/>
      <c r="R285" s="196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</row>
    <row r="286" customFormat="false" ht="11.25" hidden="false" customHeight="true" outlineLevel="0" collapsed="false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185" t="s">
        <v>477</v>
      </c>
      <c r="L286" s="54"/>
      <c r="M286" s="54"/>
      <c r="N286" s="195"/>
      <c r="O286" s="185" t="s">
        <v>476</v>
      </c>
      <c r="P286" s="195"/>
      <c r="Q286" s="54"/>
      <c r="R286" s="196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</row>
    <row r="287" customFormat="false" ht="11.25" hidden="false" customHeight="true" outlineLevel="0" collapsed="false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185" t="s">
        <v>478</v>
      </c>
      <c r="L287" s="54"/>
      <c r="M287" s="54"/>
      <c r="N287" s="195"/>
      <c r="O287" s="185" t="s">
        <v>477</v>
      </c>
      <c r="P287" s="195"/>
      <c r="Q287" s="54"/>
      <c r="R287" s="196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</row>
    <row r="288" customFormat="false" ht="11.25" hidden="false" customHeight="true" outlineLevel="0" collapsed="false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185" t="s">
        <v>479</v>
      </c>
      <c r="L288" s="54"/>
      <c r="M288" s="54"/>
      <c r="N288" s="195"/>
      <c r="O288" s="185" t="s">
        <v>478</v>
      </c>
      <c r="P288" s="195"/>
      <c r="Q288" s="54"/>
      <c r="R288" s="196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</row>
    <row r="289" customFormat="false" ht="11.25" hidden="false" customHeight="true" outlineLevel="0" collapsed="false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185" t="s">
        <v>480</v>
      </c>
      <c r="L289" s="54"/>
      <c r="M289" s="54"/>
      <c r="N289" s="195"/>
      <c r="O289" s="185" t="s">
        <v>479</v>
      </c>
      <c r="P289" s="195"/>
      <c r="Q289" s="54"/>
      <c r="R289" s="196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</row>
    <row r="290" customFormat="false" ht="11.25" hidden="false" customHeight="true" outlineLevel="0" collapsed="false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185" t="s">
        <v>481</v>
      </c>
      <c r="L290" s="54"/>
      <c r="M290" s="54"/>
      <c r="N290" s="195"/>
      <c r="O290" s="185" t="s">
        <v>480</v>
      </c>
      <c r="P290" s="195"/>
      <c r="Q290" s="54"/>
      <c r="R290" s="196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</row>
    <row r="291" customFormat="false" ht="11.25" hidden="false" customHeight="true" outlineLevel="0" collapsed="false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185" t="s">
        <v>482</v>
      </c>
      <c r="L291" s="54"/>
      <c r="M291" s="54"/>
      <c r="N291" s="195"/>
      <c r="O291" s="185" t="s">
        <v>481</v>
      </c>
      <c r="P291" s="195"/>
      <c r="Q291" s="54"/>
      <c r="R291" s="196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</row>
    <row r="292" customFormat="false" ht="11.25" hidden="false" customHeight="true" outlineLevel="0" collapsed="false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185" t="s">
        <v>483</v>
      </c>
      <c r="L292" s="54"/>
      <c r="M292" s="54"/>
      <c r="N292" s="195"/>
      <c r="O292" s="185" t="s">
        <v>482</v>
      </c>
      <c r="P292" s="195"/>
      <c r="Q292" s="54"/>
      <c r="R292" s="196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</row>
    <row r="293" customFormat="false" ht="11.25" hidden="false" customHeight="true" outlineLevel="0" collapsed="false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185" t="s">
        <v>484</v>
      </c>
      <c r="L293" s="54"/>
      <c r="M293" s="54"/>
      <c r="N293" s="195"/>
      <c r="O293" s="185" t="s">
        <v>483</v>
      </c>
      <c r="P293" s="195"/>
      <c r="Q293" s="54"/>
      <c r="R293" s="196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</row>
    <row r="294" customFormat="false" ht="11.25" hidden="false" customHeight="true" outlineLevel="0" collapsed="false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185" t="s">
        <v>485</v>
      </c>
      <c r="L294" s="54"/>
      <c r="M294" s="54"/>
      <c r="N294" s="195"/>
      <c r="O294" s="185" t="s">
        <v>484</v>
      </c>
      <c r="P294" s="195"/>
      <c r="Q294" s="54"/>
      <c r="R294" s="196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</row>
    <row r="295" customFormat="false" ht="11.25" hidden="false" customHeight="true" outlineLevel="0" collapsed="false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185" t="s">
        <v>486</v>
      </c>
      <c r="L295" s="54"/>
      <c r="M295" s="54"/>
      <c r="N295" s="195"/>
      <c r="O295" s="185" t="s">
        <v>485</v>
      </c>
      <c r="P295" s="195"/>
      <c r="Q295" s="54"/>
      <c r="R295" s="196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</row>
    <row r="296" customFormat="false" ht="11.25" hidden="false" customHeight="true" outlineLevel="0" collapsed="false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185" t="s">
        <v>487</v>
      </c>
      <c r="L296" s="54"/>
      <c r="M296" s="54"/>
      <c r="N296" s="195"/>
      <c r="O296" s="185" t="s">
        <v>486</v>
      </c>
      <c r="P296" s="195"/>
      <c r="Q296" s="54"/>
      <c r="R296" s="196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</row>
    <row r="297" customFormat="false" ht="11.25" hidden="false" customHeight="true" outlineLevel="0" collapsed="false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185" t="s">
        <v>488</v>
      </c>
      <c r="L297" s="54"/>
      <c r="M297" s="54"/>
      <c r="N297" s="195"/>
      <c r="O297" s="185" t="s">
        <v>487</v>
      </c>
      <c r="P297" s="195"/>
      <c r="Q297" s="54"/>
      <c r="R297" s="196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</row>
    <row r="298" customFormat="false" ht="11.25" hidden="false" customHeight="true" outlineLevel="0" collapsed="false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185" t="s">
        <v>489</v>
      </c>
      <c r="L298" s="54"/>
      <c r="M298" s="54"/>
      <c r="N298" s="195"/>
      <c r="O298" s="185" t="s">
        <v>488</v>
      </c>
      <c r="P298" s="195"/>
      <c r="Q298" s="54"/>
      <c r="R298" s="196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</row>
    <row r="299" customFormat="false" ht="11.25" hidden="false" customHeight="true" outlineLevel="0" collapsed="false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185" t="s">
        <v>490</v>
      </c>
      <c r="L299" s="54"/>
      <c r="M299" s="54"/>
      <c r="N299" s="195"/>
      <c r="O299" s="185" t="s">
        <v>489</v>
      </c>
      <c r="P299" s="195"/>
      <c r="Q299" s="54"/>
      <c r="R299" s="196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</row>
    <row r="300" customFormat="false" ht="11.25" hidden="false" customHeight="true" outlineLevel="0" collapsed="false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185" t="s">
        <v>491</v>
      </c>
      <c r="L300" s="54"/>
      <c r="M300" s="54"/>
      <c r="N300" s="195"/>
      <c r="O300" s="185" t="s">
        <v>490</v>
      </c>
      <c r="P300" s="195"/>
      <c r="Q300" s="54"/>
      <c r="R300" s="196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</row>
    <row r="301" customFormat="false" ht="11.25" hidden="false" customHeight="true" outlineLevel="0" collapsed="false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185" t="s">
        <v>492</v>
      </c>
      <c r="L301" s="54"/>
      <c r="M301" s="54"/>
      <c r="N301" s="195"/>
      <c r="O301" s="185" t="s">
        <v>491</v>
      </c>
      <c r="P301" s="195"/>
      <c r="Q301" s="54"/>
      <c r="R301" s="196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</row>
    <row r="302" customFormat="false" ht="11.25" hidden="false" customHeight="true" outlineLevel="0" collapsed="false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185" t="s">
        <v>493</v>
      </c>
      <c r="L302" s="54"/>
      <c r="M302" s="54"/>
      <c r="N302" s="195"/>
      <c r="O302" s="185" t="s">
        <v>492</v>
      </c>
      <c r="P302" s="195"/>
      <c r="Q302" s="54"/>
      <c r="R302" s="196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</row>
    <row r="303" customFormat="false" ht="11.25" hidden="false" customHeight="true" outlineLevel="0" collapsed="false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185" t="s">
        <v>494</v>
      </c>
      <c r="L303" s="54"/>
      <c r="M303" s="54"/>
      <c r="N303" s="195"/>
      <c r="O303" s="185" t="s">
        <v>493</v>
      </c>
      <c r="P303" s="195"/>
      <c r="Q303" s="54"/>
      <c r="R303" s="196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</row>
    <row r="304" customFormat="false" ht="11.25" hidden="false" customHeight="true" outlineLevel="0" collapsed="false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L304" s="54"/>
      <c r="M304" s="54"/>
      <c r="N304" s="195"/>
      <c r="O304" s="185" t="s">
        <v>494</v>
      </c>
      <c r="P304" s="195"/>
      <c r="Q304" s="54"/>
      <c r="R304" s="196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</row>
    <row r="305" customFormat="false" ht="11.25" hidden="false" customHeight="true" outlineLevel="0" collapsed="false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L305" s="54"/>
      <c r="M305" s="54"/>
      <c r="N305" s="195"/>
      <c r="O305" s="195"/>
      <c r="P305" s="195"/>
      <c r="Q305" s="54"/>
      <c r="R305" s="196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</row>
    <row r="306" customFormat="false" ht="11.25" hidden="false" customHeight="true" outlineLevel="0" collapsed="false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L306" s="54"/>
      <c r="M306" s="54"/>
      <c r="N306" s="195"/>
      <c r="O306" s="195"/>
      <c r="P306" s="195"/>
      <c r="Q306" s="54"/>
      <c r="R306" s="196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</row>
    <row r="307" customFormat="false" ht="11.25" hidden="false" customHeight="true" outlineLevel="0" collapsed="false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L307" s="54"/>
      <c r="M307" s="54"/>
      <c r="N307" s="195"/>
      <c r="O307" s="195"/>
      <c r="P307" s="195"/>
      <c r="Q307" s="54"/>
      <c r="R307" s="196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</row>
    <row r="308" customFormat="false" ht="11.25" hidden="false" customHeight="true" outlineLevel="0" collapsed="false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L308" s="54"/>
      <c r="M308" s="54"/>
      <c r="N308" s="195"/>
      <c r="O308" s="195"/>
      <c r="P308" s="195"/>
      <c r="Q308" s="54"/>
      <c r="R308" s="196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</row>
    <row r="309" customFormat="false" ht="11.25" hidden="false" customHeight="true" outlineLevel="0" collapsed="false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L309" s="54"/>
      <c r="M309" s="54"/>
      <c r="N309" s="195"/>
      <c r="O309" s="195"/>
      <c r="P309" s="195"/>
      <c r="Q309" s="54"/>
      <c r="R309" s="196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</row>
    <row r="310" customFormat="false" ht="11.25" hidden="false" customHeight="true" outlineLevel="0" collapsed="false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L310" s="54"/>
      <c r="M310" s="54"/>
      <c r="N310" s="195"/>
      <c r="O310" s="195"/>
      <c r="P310" s="195"/>
      <c r="Q310" s="54"/>
      <c r="R310" s="196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</row>
    <row r="311" customFormat="false" ht="11.25" hidden="false" customHeight="true" outlineLevel="0" collapsed="false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L311" s="54"/>
      <c r="M311" s="54"/>
      <c r="N311" s="195"/>
      <c r="O311" s="195"/>
      <c r="P311" s="195"/>
      <c r="Q311" s="54"/>
      <c r="R311" s="196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</row>
    <row r="312" customFormat="false" ht="11.25" hidden="false" customHeight="true" outlineLevel="0" collapsed="false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L312" s="54"/>
      <c r="M312" s="54"/>
      <c r="N312" s="195"/>
      <c r="O312" s="195"/>
      <c r="P312" s="195"/>
      <c r="Q312" s="54"/>
      <c r="R312" s="196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</row>
    <row r="313" customFormat="false" ht="11.25" hidden="false" customHeight="true" outlineLevel="0" collapsed="false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L313" s="54"/>
      <c r="M313" s="54"/>
      <c r="N313" s="195"/>
      <c r="O313" s="195"/>
      <c r="P313" s="195"/>
      <c r="Q313" s="54"/>
      <c r="R313" s="196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</row>
    <row r="314" customFormat="false" ht="11.25" hidden="false" customHeight="true" outlineLevel="0" collapsed="false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L314" s="54"/>
      <c r="M314" s="54"/>
      <c r="N314" s="195"/>
      <c r="O314" s="195"/>
      <c r="P314" s="195"/>
      <c r="Q314" s="54"/>
      <c r="R314" s="196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</row>
    <row r="315" customFormat="false" ht="11.25" hidden="false" customHeight="true" outlineLevel="0" collapsed="false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L315" s="54"/>
      <c r="M315" s="54"/>
      <c r="N315" s="195"/>
      <c r="O315" s="195"/>
      <c r="P315" s="195"/>
      <c r="Q315" s="54"/>
      <c r="R315" s="196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</row>
    <row r="316" customFormat="false" ht="11.25" hidden="false" customHeight="true" outlineLevel="0" collapsed="false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L316" s="54"/>
      <c r="M316" s="54"/>
      <c r="N316" s="195"/>
      <c r="O316" s="195"/>
      <c r="P316" s="195"/>
      <c r="Q316" s="54"/>
      <c r="R316" s="196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</row>
    <row r="317" customFormat="false" ht="11.25" hidden="false" customHeight="true" outlineLevel="0" collapsed="false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L317" s="54"/>
      <c r="M317" s="54"/>
      <c r="N317" s="195"/>
      <c r="O317" s="195"/>
      <c r="P317" s="195"/>
      <c r="Q317" s="54"/>
      <c r="R317" s="196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</row>
    <row r="318" customFormat="false" ht="11.25" hidden="false" customHeight="true" outlineLevel="0" collapsed="false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L318" s="54"/>
      <c r="M318" s="54"/>
      <c r="N318" s="195"/>
      <c r="O318" s="195"/>
      <c r="P318" s="195"/>
      <c r="Q318" s="54"/>
      <c r="R318" s="196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</row>
    <row r="319" customFormat="false" ht="11.25" hidden="false" customHeight="true" outlineLevel="0" collapsed="false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L319" s="54"/>
      <c r="M319" s="54"/>
      <c r="N319" s="195"/>
      <c r="O319" s="195"/>
      <c r="P319" s="195"/>
      <c r="Q319" s="54"/>
      <c r="R319" s="196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</row>
    <row r="320" customFormat="false" ht="11.25" hidden="false" customHeight="true" outlineLevel="0" collapsed="false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L320" s="54"/>
      <c r="M320" s="54"/>
      <c r="N320" s="195"/>
      <c r="O320" s="195"/>
      <c r="P320" s="195"/>
      <c r="Q320" s="54"/>
      <c r="R320" s="196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</row>
    <row r="321" customFormat="false" ht="11.25" hidden="false" customHeight="true" outlineLevel="0" collapsed="false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L321" s="54"/>
      <c r="M321" s="54"/>
      <c r="N321" s="195"/>
      <c r="O321" s="195"/>
      <c r="P321" s="195"/>
      <c r="Q321" s="54"/>
      <c r="R321" s="196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</row>
    <row r="322" customFormat="false" ht="11.25" hidden="false" customHeight="true" outlineLevel="0" collapsed="false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L322" s="54"/>
      <c r="M322" s="54"/>
      <c r="N322" s="195"/>
      <c r="O322" s="195"/>
      <c r="P322" s="195"/>
      <c r="Q322" s="54"/>
      <c r="R322" s="196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</row>
    <row r="323" customFormat="false" ht="11.25" hidden="false" customHeight="true" outlineLevel="0" collapsed="false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L323" s="54"/>
      <c r="M323" s="54"/>
      <c r="N323" s="195"/>
      <c r="O323" s="195"/>
      <c r="P323" s="195"/>
      <c r="Q323" s="54"/>
      <c r="R323" s="196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</row>
    <row r="324" customFormat="false" ht="11.25" hidden="false" customHeight="true" outlineLevel="0" collapsed="false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L324" s="54"/>
      <c r="M324" s="54"/>
      <c r="N324" s="195"/>
      <c r="O324" s="195"/>
      <c r="P324" s="195"/>
      <c r="Q324" s="54"/>
      <c r="R324" s="196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</row>
    <row r="325" customFormat="false" ht="11.25" hidden="false" customHeight="true" outlineLevel="0" collapsed="false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L325" s="54"/>
      <c r="M325" s="54"/>
      <c r="N325" s="195"/>
      <c r="O325" s="195"/>
      <c r="P325" s="195"/>
      <c r="Q325" s="54"/>
      <c r="R325" s="196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</row>
    <row r="326" customFormat="false" ht="11.25" hidden="false" customHeight="true" outlineLevel="0" collapsed="false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L326" s="54"/>
      <c r="M326" s="54"/>
      <c r="N326" s="195"/>
      <c r="O326" s="195"/>
      <c r="P326" s="195"/>
      <c r="Q326" s="54"/>
      <c r="R326" s="196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</row>
    <row r="327" customFormat="false" ht="11.25" hidden="false" customHeight="true" outlineLevel="0" collapsed="false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L327" s="54"/>
      <c r="M327" s="54"/>
      <c r="N327" s="195"/>
      <c r="O327" s="195"/>
      <c r="P327" s="195"/>
      <c r="Q327" s="54"/>
      <c r="R327" s="196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</row>
    <row r="328" customFormat="false" ht="11.25" hidden="false" customHeight="true" outlineLevel="0" collapsed="false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L328" s="54"/>
      <c r="M328" s="54"/>
      <c r="N328" s="195"/>
      <c r="O328" s="195"/>
      <c r="P328" s="195"/>
      <c r="Q328" s="54"/>
      <c r="R328" s="196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</row>
    <row r="329" customFormat="false" ht="11.25" hidden="false" customHeight="true" outlineLevel="0" collapsed="false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L329" s="54"/>
      <c r="M329" s="54"/>
      <c r="N329" s="195"/>
      <c r="O329" s="195"/>
      <c r="P329" s="195"/>
      <c r="Q329" s="54"/>
      <c r="R329" s="196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</row>
    <row r="330" customFormat="false" ht="11.25" hidden="false" customHeight="true" outlineLevel="0" collapsed="false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L330" s="54"/>
      <c r="M330" s="54"/>
      <c r="N330" s="195"/>
      <c r="O330" s="195"/>
      <c r="P330" s="195"/>
      <c r="Q330" s="54"/>
      <c r="R330" s="196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</row>
    <row r="331" customFormat="false" ht="11.25" hidden="false" customHeight="true" outlineLevel="0" collapsed="false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L331" s="54"/>
      <c r="M331" s="54"/>
      <c r="N331" s="195"/>
      <c r="O331" s="195"/>
      <c r="P331" s="195"/>
      <c r="Q331" s="54"/>
      <c r="R331" s="196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</row>
    <row r="332" customFormat="false" ht="11.25" hidden="false" customHeight="true" outlineLevel="0" collapsed="false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L332" s="54"/>
      <c r="M332" s="54"/>
      <c r="N332" s="195"/>
      <c r="O332" s="195"/>
      <c r="P332" s="195"/>
      <c r="Q332" s="54"/>
      <c r="R332" s="196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</row>
    <row r="333" customFormat="false" ht="11.25" hidden="false" customHeight="true" outlineLevel="0" collapsed="false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L333" s="54"/>
      <c r="M333" s="54"/>
      <c r="N333" s="195"/>
      <c r="O333" s="195"/>
      <c r="P333" s="195"/>
      <c r="Q333" s="54"/>
      <c r="R333" s="196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</row>
    <row r="334" customFormat="false" ht="11.25" hidden="false" customHeight="true" outlineLevel="0" collapsed="false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L334" s="54"/>
      <c r="M334" s="54"/>
      <c r="N334" s="195"/>
      <c r="O334" s="195"/>
      <c r="P334" s="195"/>
      <c r="Q334" s="54"/>
      <c r="R334" s="196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</row>
    <row r="335" customFormat="false" ht="11.25" hidden="false" customHeight="true" outlineLevel="0" collapsed="false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L335" s="54"/>
      <c r="M335" s="54"/>
      <c r="N335" s="195"/>
      <c r="O335" s="195"/>
      <c r="P335" s="195"/>
      <c r="Q335" s="54"/>
      <c r="R335" s="196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</row>
    <row r="336" customFormat="false" ht="11.25" hidden="false" customHeight="true" outlineLevel="0" collapsed="false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L336" s="54"/>
      <c r="M336" s="54"/>
      <c r="N336" s="195"/>
      <c r="O336" s="195"/>
      <c r="P336" s="195"/>
      <c r="Q336" s="54"/>
      <c r="R336" s="196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</row>
    <row r="337" customFormat="false" ht="11.25" hidden="false" customHeight="true" outlineLevel="0" collapsed="false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L337" s="54"/>
      <c r="M337" s="54"/>
      <c r="N337" s="195"/>
      <c r="O337" s="195"/>
      <c r="P337" s="195"/>
      <c r="Q337" s="54"/>
      <c r="R337" s="196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</row>
    <row r="338" customFormat="false" ht="11.25" hidden="false" customHeight="true" outlineLevel="0" collapsed="false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L338" s="54"/>
      <c r="M338" s="54"/>
      <c r="N338" s="195"/>
      <c r="O338" s="195"/>
      <c r="P338" s="195"/>
      <c r="Q338" s="54"/>
      <c r="R338" s="196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</row>
    <row r="339" customFormat="false" ht="11.25" hidden="false" customHeight="true" outlineLevel="0" collapsed="false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L339" s="54"/>
      <c r="M339" s="54"/>
      <c r="N339" s="195"/>
      <c r="O339" s="195"/>
      <c r="P339" s="195"/>
      <c r="Q339" s="54"/>
      <c r="R339" s="196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</row>
    <row r="340" customFormat="false" ht="11.25" hidden="false" customHeight="true" outlineLevel="0" collapsed="false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L340" s="54"/>
      <c r="M340" s="54"/>
      <c r="N340" s="195"/>
      <c r="O340" s="195"/>
      <c r="P340" s="195"/>
      <c r="Q340" s="54"/>
      <c r="R340" s="196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</row>
    <row r="341" customFormat="false" ht="11.25" hidden="false" customHeight="true" outlineLevel="0" collapsed="false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L341" s="54"/>
      <c r="M341" s="54"/>
      <c r="N341" s="195"/>
      <c r="O341" s="195"/>
      <c r="P341" s="195"/>
      <c r="Q341" s="54"/>
      <c r="R341" s="196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</row>
    <row r="342" customFormat="false" ht="11.25" hidden="false" customHeight="true" outlineLevel="0" collapsed="false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L342" s="54"/>
      <c r="M342" s="54"/>
      <c r="N342" s="195"/>
      <c r="O342" s="195"/>
      <c r="P342" s="195"/>
      <c r="Q342" s="54"/>
      <c r="R342" s="196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</row>
    <row r="343" customFormat="false" ht="11.25" hidden="false" customHeight="true" outlineLevel="0" collapsed="false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L343" s="54"/>
      <c r="M343" s="54"/>
      <c r="N343" s="195"/>
      <c r="O343" s="195"/>
      <c r="P343" s="195"/>
      <c r="Q343" s="54"/>
      <c r="R343" s="196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</row>
    <row r="344" customFormat="false" ht="11.25" hidden="false" customHeight="true" outlineLevel="0" collapsed="false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L344" s="54"/>
      <c r="M344" s="54"/>
      <c r="N344" s="195"/>
      <c r="O344" s="195"/>
      <c r="P344" s="195"/>
      <c r="Q344" s="54"/>
      <c r="R344" s="196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</row>
    <row r="345" customFormat="false" ht="11.25" hidden="false" customHeight="true" outlineLevel="0" collapsed="false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L345" s="54"/>
      <c r="M345" s="54"/>
      <c r="N345" s="195"/>
      <c r="O345" s="195"/>
      <c r="P345" s="195"/>
      <c r="Q345" s="54"/>
      <c r="R345" s="196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</row>
    <row r="346" customFormat="false" ht="11.25" hidden="false" customHeight="true" outlineLevel="0" collapsed="false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L346" s="54"/>
      <c r="M346" s="54"/>
      <c r="N346" s="195"/>
      <c r="O346" s="195"/>
      <c r="P346" s="195"/>
      <c r="Q346" s="54"/>
      <c r="R346" s="196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</row>
    <row r="347" customFormat="false" ht="11.25" hidden="false" customHeight="true" outlineLevel="0" collapsed="false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L347" s="54"/>
      <c r="M347" s="54"/>
      <c r="N347" s="195"/>
      <c r="O347" s="195"/>
      <c r="P347" s="195"/>
      <c r="Q347" s="54"/>
      <c r="R347" s="196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</row>
    <row r="348" customFormat="false" ht="11.25" hidden="false" customHeight="true" outlineLevel="0" collapsed="false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L348" s="54"/>
      <c r="M348" s="54"/>
      <c r="N348" s="195"/>
      <c r="O348" s="195"/>
      <c r="P348" s="195"/>
      <c r="Q348" s="54"/>
      <c r="R348" s="196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</row>
    <row r="349" customFormat="false" ht="11.25" hidden="false" customHeight="true" outlineLevel="0" collapsed="false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L349" s="54"/>
      <c r="M349" s="54"/>
      <c r="N349" s="195"/>
      <c r="O349" s="195"/>
      <c r="P349" s="195"/>
      <c r="Q349" s="54"/>
      <c r="R349" s="196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</row>
    <row r="350" customFormat="false" ht="11.25" hidden="false" customHeight="true" outlineLevel="0" collapsed="false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L350" s="54"/>
      <c r="M350" s="54"/>
      <c r="N350" s="195"/>
      <c r="O350" s="195"/>
      <c r="P350" s="195"/>
      <c r="Q350" s="54"/>
      <c r="R350" s="196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</row>
    <row r="351" customFormat="false" ht="11.25" hidden="false" customHeight="true" outlineLevel="0" collapsed="false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L351" s="54"/>
      <c r="M351" s="54"/>
      <c r="N351" s="195"/>
      <c r="O351" s="195"/>
      <c r="P351" s="195"/>
      <c r="Q351" s="54"/>
      <c r="R351" s="196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</row>
    <row r="352" customFormat="false" ht="11.25" hidden="false" customHeight="true" outlineLevel="0" collapsed="false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L352" s="54"/>
      <c r="M352" s="54"/>
      <c r="N352" s="195"/>
      <c r="O352" s="195"/>
      <c r="P352" s="195"/>
      <c r="Q352" s="54"/>
      <c r="R352" s="196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</row>
    <row r="353" customFormat="false" ht="11.25" hidden="false" customHeight="true" outlineLevel="0" collapsed="false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L353" s="54"/>
      <c r="M353" s="54"/>
      <c r="N353" s="195"/>
      <c r="O353" s="195"/>
      <c r="P353" s="195"/>
      <c r="Q353" s="54"/>
      <c r="R353" s="196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</row>
    <row r="354" customFormat="false" ht="11.25" hidden="false" customHeight="true" outlineLevel="0" collapsed="false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L354" s="54"/>
      <c r="M354" s="54"/>
      <c r="N354" s="195"/>
      <c r="O354" s="195"/>
      <c r="P354" s="195"/>
      <c r="Q354" s="54"/>
      <c r="R354" s="196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</row>
    <row r="355" customFormat="false" ht="11.25" hidden="false" customHeight="true" outlineLevel="0" collapsed="false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L355" s="54"/>
      <c r="M355" s="54"/>
      <c r="N355" s="195"/>
      <c r="O355" s="195"/>
      <c r="P355" s="195"/>
      <c r="Q355" s="54"/>
      <c r="R355" s="196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</row>
    <row r="356" customFormat="false" ht="11.25" hidden="false" customHeight="true" outlineLevel="0" collapsed="false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L356" s="54"/>
      <c r="M356" s="54"/>
      <c r="N356" s="195"/>
      <c r="O356" s="195"/>
      <c r="P356" s="195"/>
      <c r="Q356" s="54"/>
      <c r="R356" s="196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</row>
    <row r="357" customFormat="false" ht="11.25" hidden="false" customHeight="true" outlineLevel="0" collapsed="false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L357" s="54"/>
      <c r="M357" s="54"/>
      <c r="N357" s="195"/>
      <c r="O357" s="195"/>
      <c r="P357" s="195"/>
      <c r="Q357" s="54"/>
      <c r="R357" s="196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</row>
    <row r="358" customFormat="false" ht="11.25" hidden="false" customHeight="true" outlineLevel="0" collapsed="false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L358" s="54"/>
      <c r="M358" s="54"/>
      <c r="N358" s="195"/>
      <c r="O358" s="195"/>
      <c r="P358" s="195"/>
      <c r="Q358" s="54"/>
      <c r="R358" s="196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</row>
    <row r="359" customFormat="false" ht="11.25" hidden="false" customHeight="true" outlineLevel="0" collapsed="false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L359" s="54"/>
      <c r="M359" s="54"/>
      <c r="N359" s="195"/>
      <c r="O359" s="195"/>
      <c r="P359" s="195"/>
      <c r="Q359" s="54"/>
      <c r="R359" s="196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</row>
    <row r="360" customFormat="false" ht="11.25" hidden="false" customHeight="true" outlineLevel="0" collapsed="false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L360" s="54"/>
      <c r="M360" s="54"/>
      <c r="N360" s="195"/>
      <c r="O360" s="195"/>
      <c r="P360" s="195"/>
      <c r="Q360" s="54"/>
      <c r="R360" s="196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</row>
    <row r="361" customFormat="false" ht="11.25" hidden="false" customHeight="true" outlineLevel="0" collapsed="false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L361" s="54"/>
      <c r="M361" s="54"/>
      <c r="N361" s="195"/>
      <c r="O361" s="195"/>
      <c r="P361" s="195"/>
      <c r="Q361" s="54"/>
      <c r="R361" s="196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</row>
    <row r="362" customFormat="false" ht="11.25" hidden="false" customHeight="true" outlineLevel="0" collapsed="false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L362" s="54"/>
      <c r="M362" s="54"/>
      <c r="N362" s="195"/>
      <c r="O362" s="195"/>
      <c r="P362" s="195"/>
      <c r="Q362" s="54"/>
      <c r="R362" s="196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</row>
    <row r="363" customFormat="false" ht="11.25" hidden="false" customHeight="true" outlineLevel="0" collapsed="false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L363" s="54"/>
      <c r="M363" s="54"/>
      <c r="N363" s="195"/>
      <c r="O363" s="195"/>
      <c r="P363" s="195"/>
      <c r="Q363" s="54"/>
      <c r="R363" s="196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</row>
    <row r="364" customFormat="false" ht="11.25" hidden="false" customHeight="true" outlineLevel="0" collapsed="false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L364" s="54"/>
      <c r="M364" s="54"/>
      <c r="N364" s="195"/>
      <c r="O364" s="195"/>
      <c r="P364" s="195"/>
      <c r="Q364" s="54"/>
      <c r="R364" s="196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</row>
    <row r="365" customFormat="false" ht="11.25" hidden="false" customHeight="true" outlineLevel="0" collapsed="false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L365" s="54"/>
      <c r="M365" s="54"/>
      <c r="N365" s="195"/>
      <c r="O365" s="195"/>
      <c r="P365" s="195"/>
      <c r="Q365" s="54"/>
      <c r="R365" s="196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</row>
    <row r="366" customFormat="false" ht="11.25" hidden="false" customHeight="true" outlineLevel="0" collapsed="false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L366" s="54"/>
      <c r="M366" s="54"/>
      <c r="N366" s="195"/>
      <c r="O366" s="195"/>
      <c r="P366" s="195"/>
      <c r="Q366" s="54"/>
      <c r="R366" s="196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</row>
    <row r="367" customFormat="false" ht="11.25" hidden="false" customHeight="true" outlineLevel="0" collapsed="false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L367" s="54"/>
      <c r="M367" s="54"/>
      <c r="N367" s="195"/>
      <c r="O367" s="195"/>
      <c r="P367" s="195"/>
      <c r="Q367" s="54"/>
      <c r="R367" s="196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</row>
    <row r="368" customFormat="false" ht="11.25" hidden="false" customHeight="true" outlineLevel="0" collapsed="false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L368" s="54"/>
      <c r="M368" s="54"/>
      <c r="N368" s="195"/>
      <c r="O368" s="195"/>
      <c r="P368" s="195"/>
      <c r="Q368" s="54"/>
      <c r="R368" s="196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</row>
    <row r="369" customFormat="false" ht="11.25" hidden="false" customHeight="true" outlineLevel="0" collapsed="false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L369" s="54"/>
      <c r="M369" s="54"/>
      <c r="N369" s="195"/>
      <c r="O369" s="195"/>
      <c r="P369" s="195"/>
      <c r="Q369" s="54"/>
      <c r="R369" s="196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</row>
    <row r="370" customFormat="false" ht="11.25" hidden="false" customHeight="true" outlineLevel="0" collapsed="false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L370" s="54"/>
      <c r="M370" s="54"/>
      <c r="N370" s="195"/>
      <c r="O370" s="195"/>
      <c r="P370" s="195"/>
      <c r="Q370" s="54"/>
      <c r="R370" s="196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</row>
    <row r="371" customFormat="false" ht="11.25" hidden="false" customHeight="true" outlineLevel="0" collapsed="false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L371" s="54"/>
      <c r="M371" s="54"/>
      <c r="N371" s="195"/>
      <c r="O371" s="195"/>
      <c r="P371" s="195"/>
      <c r="Q371" s="54"/>
      <c r="R371" s="196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</row>
    <row r="372" customFormat="false" ht="11.25" hidden="false" customHeight="true" outlineLevel="0" collapsed="false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L372" s="54"/>
      <c r="M372" s="54"/>
      <c r="N372" s="195"/>
      <c r="O372" s="195"/>
      <c r="P372" s="195"/>
      <c r="Q372" s="54"/>
      <c r="R372" s="196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</row>
    <row r="373" customFormat="false" ht="11.25" hidden="false" customHeight="true" outlineLevel="0" collapsed="false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L373" s="54"/>
      <c r="M373" s="54"/>
      <c r="N373" s="195"/>
      <c r="O373" s="195"/>
      <c r="P373" s="195"/>
      <c r="Q373" s="54"/>
      <c r="R373" s="196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</row>
    <row r="374" customFormat="false" ht="11.25" hidden="false" customHeight="true" outlineLevel="0" collapsed="false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L374" s="54"/>
      <c r="M374" s="54"/>
      <c r="N374" s="195"/>
      <c r="O374" s="195"/>
      <c r="P374" s="195"/>
      <c r="Q374" s="54"/>
      <c r="R374" s="196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</row>
    <row r="375" customFormat="false" ht="11.25" hidden="false" customHeight="true" outlineLevel="0" collapsed="false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L375" s="54"/>
      <c r="M375" s="54"/>
      <c r="N375" s="195"/>
      <c r="O375" s="195"/>
      <c r="P375" s="195"/>
      <c r="Q375" s="54"/>
      <c r="R375" s="196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</row>
    <row r="376" customFormat="false" ht="11.25" hidden="false" customHeight="true" outlineLevel="0" collapsed="false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L376" s="54"/>
      <c r="M376" s="54"/>
      <c r="N376" s="195"/>
      <c r="O376" s="195"/>
      <c r="P376" s="195"/>
      <c r="Q376" s="54"/>
      <c r="R376" s="196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</row>
    <row r="377" customFormat="false" ht="11.25" hidden="false" customHeight="true" outlineLevel="0" collapsed="false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L377" s="54"/>
      <c r="M377" s="54"/>
      <c r="N377" s="195"/>
      <c r="O377" s="195"/>
      <c r="P377" s="195"/>
      <c r="Q377" s="54"/>
      <c r="R377" s="196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</row>
    <row r="378" customFormat="false" ht="11.25" hidden="false" customHeight="true" outlineLevel="0" collapsed="false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L378" s="54"/>
      <c r="M378" s="54"/>
      <c r="N378" s="195"/>
      <c r="O378" s="195"/>
      <c r="P378" s="195"/>
      <c r="Q378" s="54"/>
      <c r="R378" s="196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</row>
    <row r="379" customFormat="false" ht="11.25" hidden="false" customHeight="true" outlineLevel="0" collapsed="false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L379" s="54"/>
      <c r="M379" s="54"/>
      <c r="N379" s="195"/>
      <c r="O379" s="195"/>
      <c r="P379" s="195"/>
      <c r="Q379" s="54"/>
      <c r="R379" s="196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</row>
    <row r="380" customFormat="false" ht="11.25" hidden="false" customHeight="true" outlineLevel="0" collapsed="false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L380" s="54"/>
      <c r="M380" s="54"/>
      <c r="N380" s="195"/>
      <c r="O380" s="195"/>
      <c r="P380" s="195"/>
      <c r="Q380" s="54"/>
      <c r="R380" s="196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</row>
    <row r="381" customFormat="false" ht="11.25" hidden="false" customHeight="true" outlineLevel="0" collapsed="false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L381" s="54"/>
      <c r="M381" s="54"/>
      <c r="N381" s="195"/>
      <c r="O381" s="195"/>
      <c r="P381" s="195"/>
      <c r="Q381" s="54"/>
      <c r="R381" s="196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</row>
    <row r="382" customFormat="false" ht="11.25" hidden="false" customHeight="true" outlineLevel="0" collapsed="false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L382" s="54"/>
      <c r="M382" s="54"/>
      <c r="N382" s="195"/>
      <c r="O382" s="195"/>
      <c r="P382" s="195"/>
      <c r="Q382" s="54"/>
      <c r="R382" s="196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</row>
    <row r="383" customFormat="false" ht="11.25" hidden="false" customHeight="true" outlineLevel="0" collapsed="false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L383" s="54"/>
      <c r="M383" s="54"/>
      <c r="N383" s="195"/>
      <c r="O383" s="195"/>
      <c r="P383" s="195"/>
      <c r="Q383" s="54"/>
      <c r="R383" s="196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</row>
    <row r="384" customFormat="false" ht="11.25" hidden="false" customHeight="true" outlineLevel="0" collapsed="false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L384" s="54"/>
      <c r="M384" s="54"/>
      <c r="N384" s="195"/>
      <c r="O384" s="195"/>
      <c r="P384" s="195"/>
      <c r="Q384" s="54"/>
      <c r="R384" s="196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</row>
    <row r="385" customFormat="false" ht="11.25" hidden="false" customHeight="true" outlineLevel="0" collapsed="false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L385" s="54"/>
      <c r="M385" s="54"/>
      <c r="N385" s="195"/>
      <c r="O385" s="195"/>
      <c r="P385" s="195"/>
      <c r="Q385" s="54"/>
      <c r="R385" s="196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</row>
    <row r="386" customFormat="false" ht="11.25" hidden="false" customHeight="true" outlineLevel="0" collapsed="false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L386" s="54"/>
      <c r="M386" s="54"/>
      <c r="N386" s="195"/>
      <c r="O386" s="195"/>
      <c r="P386" s="195"/>
      <c r="Q386" s="54"/>
      <c r="R386" s="196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</row>
    <row r="387" customFormat="false" ht="11.25" hidden="false" customHeight="true" outlineLevel="0" collapsed="false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L387" s="54"/>
      <c r="M387" s="54"/>
      <c r="N387" s="195"/>
      <c r="O387" s="195"/>
      <c r="P387" s="195"/>
      <c r="Q387" s="54"/>
      <c r="R387" s="196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</row>
    <row r="388" customFormat="false" ht="11.25" hidden="false" customHeight="true" outlineLevel="0" collapsed="false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L388" s="54"/>
      <c r="M388" s="54"/>
      <c r="N388" s="195"/>
      <c r="O388" s="195"/>
      <c r="P388" s="195"/>
      <c r="Q388" s="54"/>
      <c r="R388" s="196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</row>
    <row r="389" customFormat="false" ht="11.25" hidden="false" customHeight="true" outlineLevel="0" collapsed="false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L389" s="54"/>
      <c r="M389" s="54"/>
      <c r="N389" s="195"/>
      <c r="O389" s="195"/>
      <c r="P389" s="195"/>
      <c r="Q389" s="54"/>
      <c r="R389" s="196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</row>
    <row r="390" customFormat="false" ht="11.25" hidden="false" customHeight="true" outlineLevel="0" collapsed="false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L390" s="54"/>
      <c r="M390" s="54"/>
      <c r="N390" s="195"/>
      <c r="O390" s="195"/>
      <c r="P390" s="195"/>
      <c r="Q390" s="54"/>
      <c r="R390" s="196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</row>
    <row r="391" customFormat="false" ht="11.25" hidden="false" customHeight="true" outlineLevel="0" collapsed="false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L391" s="54"/>
      <c r="M391" s="54"/>
      <c r="N391" s="195"/>
      <c r="O391" s="195"/>
      <c r="P391" s="195"/>
      <c r="Q391" s="54"/>
      <c r="R391" s="196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</row>
    <row r="392" customFormat="false" ht="11.25" hidden="false" customHeight="true" outlineLevel="0" collapsed="false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L392" s="54"/>
      <c r="M392" s="54"/>
      <c r="N392" s="195"/>
      <c r="O392" s="195"/>
      <c r="P392" s="195"/>
      <c r="Q392" s="54"/>
      <c r="R392" s="196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</row>
    <row r="393" customFormat="false" ht="11.25" hidden="false" customHeight="true" outlineLevel="0" collapsed="false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L393" s="54"/>
      <c r="M393" s="54"/>
      <c r="N393" s="195"/>
      <c r="O393" s="195"/>
      <c r="P393" s="195"/>
      <c r="Q393" s="54"/>
      <c r="R393" s="196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</row>
    <row r="394" customFormat="false" ht="11.25" hidden="false" customHeight="true" outlineLevel="0" collapsed="false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L394" s="54"/>
      <c r="M394" s="54"/>
      <c r="N394" s="195"/>
      <c r="O394" s="195"/>
      <c r="P394" s="195"/>
      <c r="Q394" s="54"/>
      <c r="R394" s="196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</row>
    <row r="395" customFormat="false" ht="11.25" hidden="false" customHeight="true" outlineLevel="0" collapsed="false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L395" s="54"/>
      <c r="M395" s="54"/>
      <c r="N395" s="195"/>
      <c r="O395" s="195"/>
      <c r="P395" s="195"/>
      <c r="Q395" s="54"/>
      <c r="R395" s="196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</row>
    <row r="396" customFormat="false" ht="11.25" hidden="false" customHeight="true" outlineLevel="0" collapsed="false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L396" s="54"/>
      <c r="M396" s="54"/>
      <c r="N396" s="195"/>
      <c r="O396" s="195"/>
      <c r="P396" s="195"/>
      <c r="Q396" s="54"/>
      <c r="R396" s="196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</row>
    <row r="397" customFormat="false" ht="11.25" hidden="false" customHeight="true" outlineLevel="0" collapsed="false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L397" s="54"/>
      <c r="M397" s="54"/>
      <c r="N397" s="195"/>
      <c r="O397" s="195"/>
      <c r="P397" s="195"/>
      <c r="Q397" s="54"/>
      <c r="R397" s="196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</row>
    <row r="398" customFormat="false" ht="11.25" hidden="false" customHeight="true" outlineLevel="0" collapsed="false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L398" s="54"/>
      <c r="M398" s="54"/>
      <c r="N398" s="195"/>
      <c r="O398" s="195"/>
      <c r="P398" s="195"/>
      <c r="Q398" s="54"/>
      <c r="R398" s="196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</row>
    <row r="399" customFormat="false" ht="11.25" hidden="false" customHeight="true" outlineLevel="0" collapsed="false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L399" s="54"/>
      <c r="M399" s="54"/>
      <c r="N399" s="195"/>
      <c r="O399" s="195"/>
      <c r="P399" s="195"/>
      <c r="Q399" s="54"/>
      <c r="R399" s="196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</row>
    <row r="400" customFormat="false" ht="11.25" hidden="false" customHeight="true" outlineLevel="0" collapsed="false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L400" s="54"/>
      <c r="M400" s="54"/>
      <c r="N400" s="195"/>
      <c r="O400" s="195"/>
      <c r="P400" s="195"/>
      <c r="Q400" s="54"/>
      <c r="R400" s="196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</row>
    <row r="401" customFormat="false" ht="11.25" hidden="false" customHeight="true" outlineLevel="0" collapsed="false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L401" s="54"/>
      <c r="M401" s="54"/>
      <c r="N401" s="195"/>
      <c r="O401" s="195"/>
      <c r="P401" s="195"/>
      <c r="Q401" s="54"/>
      <c r="R401" s="196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</row>
    <row r="402" customFormat="false" ht="11.25" hidden="false" customHeight="true" outlineLevel="0" collapsed="false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L402" s="54"/>
      <c r="M402" s="54"/>
      <c r="N402" s="195"/>
      <c r="O402" s="195"/>
      <c r="P402" s="195"/>
      <c r="Q402" s="54"/>
      <c r="R402" s="196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</row>
    <row r="403" customFormat="false" ht="11.25" hidden="false" customHeight="true" outlineLevel="0" collapsed="false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L403" s="54"/>
      <c r="M403" s="54"/>
      <c r="N403" s="195"/>
      <c r="O403" s="195"/>
      <c r="P403" s="195"/>
      <c r="Q403" s="54"/>
      <c r="R403" s="196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</row>
    <row r="404" customFormat="false" ht="11.25" hidden="false" customHeight="true" outlineLevel="0" collapsed="false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L404" s="54"/>
      <c r="M404" s="54"/>
      <c r="N404" s="195"/>
      <c r="O404" s="195"/>
      <c r="P404" s="195"/>
      <c r="Q404" s="54"/>
      <c r="R404" s="196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</row>
    <row r="405" customFormat="false" ht="11.25" hidden="false" customHeight="true" outlineLevel="0" collapsed="false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L405" s="54"/>
      <c r="M405" s="54"/>
      <c r="N405" s="195"/>
      <c r="O405" s="195"/>
      <c r="P405" s="195"/>
      <c r="Q405" s="54"/>
      <c r="R405" s="196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</row>
    <row r="406" customFormat="false" ht="11.25" hidden="false" customHeight="true" outlineLevel="0" collapsed="false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L406" s="54"/>
      <c r="M406" s="54"/>
      <c r="N406" s="195"/>
      <c r="O406" s="195"/>
      <c r="P406" s="195"/>
      <c r="Q406" s="54"/>
      <c r="R406" s="196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</row>
    <row r="407" customFormat="false" ht="11.25" hidden="false" customHeight="true" outlineLevel="0" collapsed="false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L407" s="54"/>
      <c r="M407" s="54"/>
      <c r="N407" s="195"/>
      <c r="O407" s="195"/>
      <c r="P407" s="195"/>
      <c r="Q407" s="54"/>
      <c r="R407" s="196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</row>
    <row r="408" customFormat="false" ht="11.25" hidden="false" customHeight="true" outlineLevel="0" collapsed="false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L408" s="54"/>
      <c r="M408" s="54"/>
      <c r="N408" s="195"/>
      <c r="O408" s="195"/>
      <c r="P408" s="195"/>
      <c r="Q408" s="54"/>
      <c r="R408" s="196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</row>
    <row r="409" customFormat="false" ht="11.25" hidden="false" customHeight="true" outlineLevel="0" collapsed="false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L409" s="54"/>
      <c r="M409" s="54"/>
      <c r="N409" s="195"/>
      <c r="O409" s="195"/>
      <c r="P409" s="195"/>
      <c r="Q409" s="54"/>
      <c r="R409" s="196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</row>
    <row r="410" customFormat="false" ht="11.25" hidden="false" customHeight="true" outlineLevel="0" collapsed="false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L410" s="54"/>
      <c r="M410" s="54"/>
      <c r="N410" s="195"/>
      <c r="O410" s="195"/>
      <c r="P410" s="195"/>
      <c r="Q410" s="54"/>
      <c r="R410" s="196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</row>
    <row r="411" customFormat="false" ht="11.25" hidden="false" customHeight="true" outlineLevel="0" collapsed="false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L411" s="54"/>
      <c r="M411" s="54"/>
      <c r="N411" s="195"/>
      <c r="O411" s="195"/>
      <c r="P411" s="195"/>
      <c r="Q411" s="54"/>
      <c r="R411" s="196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</row>
    <row r="412" customFormat="false" ht="11.25" hidden="false" customHeight="true" outlineLevel="0" collapsed="false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L412" s="54"/>
      <c r="M412" s="54"/>
      <c r="N412" s="195"/>
      <c r="O412" s="195"/>
      <c r="P412" s="195"/>
      <c r="Q412" s="54"/>
      <c r="R412" s="196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</row>
    <row r="413" customFormat="false" ht="11.25" hidden="false" customHeight="true" outlineLevel="0" collapsed="false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L413" s="54"/>
      <c r="M413" s="54"/>
      <c r="N413" s="195"/>
      <c r="O413" s="195"/>
      <c r="P413" s="195"/>
      <c r="Q413" s="54"/>
      <c r="R413" s="196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</row>
    <row r="414" customFormat="false" ht="11.25" hidden="false" customHeight="true" outlineLevel="0" collapsed="false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L414" s="54"/>
      <c r="M414" s="54"/>
      <c r="N414" s="195"/>
      <c r="O414" s="195"/>
      <c r="P414" s="195"/>
      <c r="Q414" s="54"/>
      <c r="R414" s="196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</row>
    <row r="415" customFormat="false" ht="11.25" hidden="false" customHeight="true" outlineLevel="0" collapsed="false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L415" s="54"/>
      <c r="M415" s="54"/>
      <c r="N415" s="195"/>
      <c r="O415" s="195"/>
      <c r="P415" s="195"/>
      <c r="Q415" s="54"/>
      <c r="R415" s="196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</row>
    <row r="416" customFormat="false" ht="11.25" hidden="false" customHeight="true" outlineLevel="0" collapsed="false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L416" s="54"/>
      <c r="M416" s="54"/>
      <c r="N416" s="195"/>
      <c r="O416" s="195"/>
      <c r="P416" s="195"/>
      <c r="Q416" s="54"/>
      <c r="R416" s="196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</row>
    <row r="417" customFormat="false" ht="11.25" hidden="false" customHeight="true" outlineLevel="0" collapsed="false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L417" s="54"/>
      <c r="M417" s="54"/>
      <c r="N417" s="195"/>
      <c r="O417" s="195"/>
      <c r="P417" s="195"/>
      <c r="Q417" s="54"/>
      <c r="R417" s="196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</row>
    <row r="418" customFormat="false" ht="11.25" hidden="false" customHeight="true" outlineLevel="0" collapsed="false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L418" s="54"/>
      <c r="M418" s="54"/>
      <c r="N418" s="195"/>
      <c r="O418" s="195"/>
      <c r="P418" s="195"/>
      <c r="Q418" s="54"/>
      <c r="R418" s="196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</row>
    <row r="419" customFormat="false" ht="11.25" hidden="false" customHeight="true" outlineLevel="0" collapsed="false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L419" s="54"/>
      <c r="M419" s="54"/>
      <c r="N419" s="195"/>
      <c r="O419" s="195"/>
      <c r="P419" s="195"/>
      <c r="Q419" s="54"/>
      <c r="R419" s="196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</row>
    <row r="420" customFormat="false" ht="11.25" hidden="false" customHeight="true" outlineLevel="0" collapsed="false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L420" s="54"/>
      <c r="M420" s="54"/>
      <c r="N420" s="195"/>
      <c r="O420" s="195"/>
      <c r="P420" s="195"/>
      <c r="Q420" s="54"/>
      <c r="R420" s="196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</row>
    <row r="421" customFormat="false" ht="11.25" hidden="false" customHeight="true" outlineLevel="0" collapsed="false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L421" s="54"/>
      <c r="M421" s="54"/>
      <c r="N421" s="195"/>
      <c r="O421" s="195"/>
      <c r="P421" s="195"/>
      <c r="Q421" s="54"/>
      <c r="R421" s="196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</row>
    <row r="422" customFormat="false" ht="11.25" hidden="false" customHeight="true" outlineLevel="0" collapsed="false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L422" s="54"/>
      <c r="M422" s="54"/>
      <c r="N422" s="195"/>
      <c r="O422" s="195"/>
      <c r="P422" s="195"/>
      <c r="Q422" s="54"/>
      <c r="R422" s="196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</row>
    <row r="423" customFormat="false" ht="11.25" hidden="false" customHeight="true" outlineLevel="0" collapsed="false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L423" s="54"/>
      <c r="M423" s="54"/>
      <c r="N423" s="195"/>
      <c r="O423" s="195"/>
      <c r="P423" s="195"/>
      <c r="Q423" s="54"/>
      <c r="R423" s="196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</row>
    <row r="424" customFormat="false" ht="11.25" hidden="false" customHeight="true" outlineLevel="0" collapsed="false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L424" s="54"/>
      <c r="M424" s="54"/>
      <c r="N424" s="195"/>
      <c r="O424" s="195"/>
      <c r="P424" s="195"/>
      <c r="Q424" s="54"/>
      <c r="R424" s="196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</row>
    <row r="425" customFormat="false" ht="11.25" hidden="false" customHeight="true" outlineLevel="0" collapsed="false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L425" s="54"/>
      <c r="M425" s="54"/>
      <c r="N425" s="195"/>
      <c r="O425" s="195"/>
      <c r="P425" s="195"/>
      <c r="Q425" s="54"/>
      <c r="R425" s="196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</row>
    <row r="426" customFormat="false" ht="11.25" hidden="false" customHeight="true" outlineLevel="0" collapsed="false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L426" s="54"/>
      <c r="M426" s="54"/>
      <c r="N426" s="195"/>
      <c r="O426" s="195"/>
      <c r="P426" s="195"/>
      <c r="Q426" s="54"/>
      <c r="R426" s="196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</row>
    <row r="427" customFormat="false" ht="11.25" hidden="false" customHeight="true" outlineLevel="0" collapsed="false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L427" s="54"/>
      <c r="M427" s="54"/>
      <c r="N427" s="195"/>
      <c r="O427" s="195"/>
      <c r="P427" s="195"/>
      <c r="Q427" s="54"/>
      <c r="R427" s="196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</row>
    <row r="428" customFormat="false" ht="11.25" hidden="false" customHeight="true" outlineLevel="0" collapsed="false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L428" s="54"/>
      <c r="M428" s="54"/>
      <c r="N428" s="195"/>
      <c r="O428" s="195"/>
      <c r="P428" s="195"/>
      <c r="Q428" s="54"/>
      <c r="R428" s="196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</row>
    <row r="429" customFormat="false" ht="11.25" hidden="false" customHeight="true" outlineLevel="0" collapsed="false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L429" s="54"/>
      <c r="M429" s="54"/>
      <c r="N429" s="195"/>
      <c r="O429" s="195"/>
      <c r="P429" s="195"/>
      <c r="Q429" s="54"/>
      <c r="R429" s="196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</row>
    <row r="430" customFormat="false" ht="11.25" hidden="false" customHeight="true" outlineLevel="0" collapsed="false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L430" s="54"/>
      <c r="M430" s="54"/>
      <c r="N430" s="195"/>
      <c r="O430" s="195"/>
      <c r="P430" s="195"/>
      <c r="Q430" s="54"/>
      <c r="R430" s="196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</row>
    <row r="431" customFormat="false" ht="11.25" hidden="false" customHeight="true" outlineLevel="0" collapsed="false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L431" s="54"/>
      <c r="M431" s="54"/>
      <c r="N431" s="195"/>
      <c r="O431" s="195"/>
      <c r="P431" s="195"/>
      <c r="Q431" s="54"/>
      <c r="R431" s="196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</row>
    <row r="432" customFormat="false" ht="11.25" hidden="false" customHeight="true" outlineLevel="0" collapsed="false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L432" s="54"/>
      <c r="M432" s="54"/>
      <c r="N432" s="195"/>
      <c r="O432" s="195"/>
      <c r="P432" s="195"/>
      <c r="Q432" s="54"/>
      <c r="R432" s="196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</row>
    <row r="433" customFormat="false" ht="11.25" hidden="false" customHeight="true" outlineLevel="0" collapsed="false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L433" s="54"/>
      <c r="M433" s="54"/>
      <c r="N433" s="195"/>
      <c r="O433" s="195"/>
      <c r="P433" s="195"/>
      <c r="Q433" s="54"/>
      <c r="R433" s="196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</row>
    <row r="434" customFormat="false" ht="11.25" hidden="false" customHeight="true" outlineLevel="0" collapsed="false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L434" s="54"/>
      <c r="M434" s="54"/>
      <c r="N434" s="195"/>
      <c r="O434" s="195"/>
      <c r="P434" s="195"/>
      <c r="Q434" s="54"/>
      <c r="R434" s="196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</row>
    <row r="435" customFormat="false" ht="11.25" hidden="false" customHeight="true" outlineLevel="0" collapsed="false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L435" s="54"/>
      <c r="M435" s="54"/>
      <c r="N435" s="195"/>
      <c r="O435" s="195"/>
      <c r="P435" s="195"/>
      <c r="Q435" s="54"/>
      <c r="R435" s="196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</row>
    <row r="436" customFormat="false" ht="11.25" hidden="false" customHeight="true" outlineLevel="0" collapsed="false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L436" s="54"/>
      <c r="M436" s="54"/>
      <c r="N436" s="195"/>
      <c r="O436" s="195"/>
      <c r="P436" s="195"/>
      <c r="Q436" s="54"/>
      <c r="R436" s="196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</row>
    <row r="437" customFormat="false" ht="11.25" hidden="false" customHeight="true" outlineLevel="0" collapsed="false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L437" s="54"/>
      <c r="M437" s="54"/>
      <c r="N437" s="195"/>
      <c r="O437" s="195"/>
      <c r="P437" s="195"/>
      <c r="Q437" s="54"/>
      <c r="R437" s="196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</row>
    <row r="438" customFormat="false" ht="11.25" hidden="false" customHeight="true" outlineLevel="0" collapsed="false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L438" s="54"/>
      <c r="M438" s="54"/>
      <c r="N438" s="195"/>
      <c r="O438" s="195"/>
      <c r="P438" s="195"/>
      <c r="Q438" s="54"/>
      <c r="R438" s="196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</row>
    <row r="439" customFormat="false" ht="11.25" hidden="false" customHeight="true" outlineLevel="0" collapsed="false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L439" s="54"/>
      <c r="M439" s="54"/>
      <c r="N439" s="195"/>
      <c r="O439" s="195"/>
      <c r="P439" s="195"/>
      <c r="Q439" s="54"/>
      <c r="R439" s="196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</row>
    <row r="440" customFormat="false" ht="11.25" hidden="false" customHeight="true" outlineLevel="0" collapsed="false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L440" s="54"/>
      <c r="M440" s="54"/>
      <c r="N440" s="195"/>
      <c r="O440" s="195"/>
      <c r="P440" s="195"/>
      <c r="Q440" s="54"/>
      <c r="R440" s="196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</row>
    <row r="441" customFormat="false" ht="11.25" hidden="false" customHeight="true" outlineLevel="0" collapsed="false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L441" s="54"/>
      <c r="M441" s="54"/>
      <c r="N441" s="195"/>
      <c r="O441" s="195"/>
      <c r="P441" s="195"/>
      <c r="Q441" s="54"/>
      <c r="R441" s="196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</row>
    <row r="442" customFormat="false" ht="11.25" hidden="false" customHeight="true" outlineLevel="0" collapsed="false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L442" s="54"/>
      <c r="M442" s="54"/>
      <c r="N442" s="195"/>
      <c r="O442" s="195"/>
      <c r="P442" s="195"/>
      <c r="Q442" s="54"/>
      <c r="R442" s="196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</row>
    <row r="443" customFormat="false" ht="11.25" hidden="false" customHeight="true" outlineLevel="0" collapsed="false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L443" s="54"/>
      <c r="M443" s="54"/>
      <c r="N443" s="195"/>
      <c r="O443" s="195"/>
      <c r="P443" s="195"/>
      <c r="Q443" s="54"/>
      <c r="R443" s="196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</row>
    <row r="444" customFormat="false" ht="11.25" hidden="false" customHeight="true" outlineLevel="0" collapsed="false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L444" s="54"/>
      <c r="M444" s="54"/>
      <c r="N444" s="195"/>
      <c r="O444" s="195"/>
      <c r="P444" s="195"/>
      <c r="Q444" s="54"/>
      <c r="R444" s="196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</row>
    <row r="445" customFormat="false" ht="11.25" hidden="false" customHeight="true" outlineLevel="0" collapsed="false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L445" s="54"/>
      <c r="M445" s="54"/>
      <c r="N445" s="195"/>
      <c r="O445" s="195"/>
      <c r="P445" s="195"/>
      <c r="Q445" s="54"/>
      <c r="R445" s="196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</row>
    <row r="446" customFormat="false" ht="11.25" hidden="false" customHeight="true" outlineLevel="0" collapsed="false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L446" s="54"/>
      <c r="M446" s="54"/>
      <c r="N446" s="195"/>
      <c r="O446" s="195"/>
      <c r="P446" s="195"/>
      <c r="Q446" s="54"/>
      <c r="R446" s="196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</row>
    <row r="447" customFormat="false" ht="11.25" hidden="false" customHeight="true" outlineLevel="0" collapsed="false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L447" s="54"/>
      <c r="M447" s="54"/>
      <c r="N447" s="195"/>
      <c r="O447" s="195"/>
      <c r="P447" s="195"/>
      <c r="Q447" s="54"/>
      <c r="R447" s="196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</row>
    <row r="448" customFormat="false" ht="11.25" hidden="false" customHeight="true" outlineLevel="0" collapsed="false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L448" s="54"/>
      <c r="M448" s="54"/>
      <c r="N448" s="195"/>
      <c r="O448" s="195"/>
      <c r="P448" s="195"/>
      <c r="Q448" s="54"/>
      <c r="R448" s="196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</row>
    <row r="449" customFormat="false" ht="11.25" hidden="false" customHeight="true" outlineLevel="0" collapsed="false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L449" s="54"/>
      <c r="M449" s="54"/>
      <c r="N449" s="195"/>
      <c r="O449" s="195"/>
      <c r="P449" s="195"/>
      <c r="Q449" s="54"/>
      <c r="R449" s="196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</row>
    <row r="450" customFormat="false" ht="11.25" hidden="false" customHeight="true" outlineLevel="0" collapsed="false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L450" s="54"/>
      <c r="M450" s="54"/>
      <c r="N450" s="195"/>
      <c r="O450" s="195"/>
      <c r="P450" s="195"/>
      <c r="Q450" s="54"/>
      <c r="R450" s="196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</row>
    <row r="451" customFormat="false" ht="11.25" hidden="false" customHeight="true" outlineLevel="0" collapsed="false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L451" s="54"/>
      <c r="M451" s="54"/>
      <c r="N451" s="195"/>
      <c r="O451" s="195"/>
      <c r="P451" s="195"/>
      <c r="Q451" s="54"/>
      <c r="R451" s="196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</row>
    <row r="452" customFormat="false" ht="11.25" hidden="false" customHeight="true" outlineLevel="0" collapsed="false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L452" s="54"/>
      <c r="M452" s="54"/>
      <c r="N452" s="195"/>
      <c r="O452" s="195"/>
      <c r="P452" s="195"/>
      <c r="Q452" s="54"/>
      <c r="R452" s="196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</row>
    <row r="453" customFormat="false" ht="11.25" hidden="false" customHeight="true" outlineLevel="0" collapsed="false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L453" s="54"/>
      <c r="M453" s="54"/>
      <c r="N453" s="195"/>
      <c r="O453" s="195"/>
      <c r="P453" s="195"/>
      <c r="Q453" s="54"/>
      <c r="R453" s="196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</row>
    <row r="454" customFormat="false" ht="11.25" hidden="false" customHeight="true" outlineLevel="0" collapsed="false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L454" s="54"/>
      <c r="M454" s="54"/>
      <c r="N454" s="195"/>
      <c r="O454" s="195"/>
      <c r="P454" s="195"/>
      <c r="Q454" s="54"/>
      <c r="R454" s="196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</row>
    <row r="455" customFormat="false" ht="11.25" hidden="false" customHeight="true" outlineLevel="0" collapsed="false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L455" s="54"/>
      <c r="M455" s="54"/>
      <c r="N455" s="195"/>
      <c r="O455" s="195"/>
      <c r="P455" s="195"/>
      <c r="Q455" s="54"/>
      <c r="R455" s="196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</row>
    <row r="456" customFormat="false" ht="11.25" hidden="false" customHeight="true" outlineLevel="0" collapsed="false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L456" s="54"/>
      <c r="M456" s="54"/>
      <c r="N456" s="195"/>
      <c r="O456" s="195"/>
      <c r="P456" s="195"/>
      <c r="Q456" s="54"/>
      <c r="R456" s="196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</row>
    <row r="457" customFormat="false" ht="11.25" hidden="false" customHeight="true" outlineLevel="0" collapsed="false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L457" s="54"/>
      <c r="M457" s="54"/>
      <c r="N457" s="195"/>
      <c r="O457" s="195"/>
      <c r="P457" s="195"/>
      <c r="Q457" s="54"/>
      <c r="R457" s="196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</row>
    <row r="458" customFormat="false" ht="11.25" hidden="false" customHeight="true" outlineLevel="0" collapsed="false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L458" s="54"/>
      <c r="M458" s="54"/>
      <c r="N458" s="195"/>
      <c r="O458" s="195"/>
      <c r="P458" s="195"/>
      <c r="Q458" s="54"/>
      <c r="R458" s="196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</row>
    <row r="459" customFormat="false" ht="11.25" hidden="false" customHeight="true" outlineLevel="0" collapsed="false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L459" s="54"/>
      <c r="M459" s="54"/>
      <c r="N459" s="195"/>
      <c r="O459" s="195"/>
      <c r="P459" s="195"/>
      <c r="Q459" s="54"/>
      <c r="R459" s="196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</row>
    <row r="460" customFormat="false" ht="11.25" hidden="false" customHeight="true" outlineLevel="0" collapsed="false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L460" s="54"/>
      <c r="M460" s="54"/>
      <c r="N460" s="195"/>
      <c r="O460" s="195"/>
      <c r="P460" s="195"/>
      <c r="Q460" s="54"/>
      <c r="R460" s="196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</row>
    <row r="461" customFormat="false" ht="11.25" hidden="false" customHeight="true" outlineLevel="0" collapsed="false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L461" s="54"/>
      <c r="M461" s="54"/>
      <c r="N461" s="195"/>
      <c r="O461" s="195"/>
      <c r="P461" s="195"/>
      <c r="Q461" s="54"/>
      <c r="R461" s="196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</row>
    <row r="462" customFormat="false" ht="11.25" hidden="false" customHeight="true" outlineLevel="0" collapsed="false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L462" s="54"/>
      <c r="M462" s="54"/>
      <c r="N462" s="195"/>
      <c r="O462" s="195"/>
      <c r="P462" s="195"/>
      <c r="Q462" s="54"/>
      <c r="R462" s="196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</row>
    <row r="463" customFormat="false" ht="11.25" hidden="false" customHeight="true" outlineLevel="0" collapsed="false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L463" s="54"/>
      <c r="M463" s="54"/>
      <c r="N463" s="195"/>
      <c r="O463" s="195"/>
      <c r="P463" s="195"/>
      <c r="Q463" s="54"/>
      <c r="R463" s="196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</row>
    <row r="464" customFormat="false" ht="11.25" hidden="false" customHeight="true" outlineLevel="0" collapsed="false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L464" s="54"/>
      <c r="M464" s="54"/>
      <c r="N464" s="195"/>
      <c r="O464" s="195"/>
      <c r="P464" s="195"/>
      <c r="Q464" s="54"/>
      <c r="R464" s="196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</row>
    <row r="465" customFormat="false" ht="11.25" hidden="false" customHeight="true" outlineLevel="0" collapsed="false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L465" s="54"/>
      <c r="M465" s="54"/>
      <c r="N465" s="195"/>
      <c r="O465" s="195"/>
      <c r="P465" s="195"/>
      <c r="Q465" s="54"/>
      <c r="R465" s="196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</row>
    <row r="466" customFormat="false" ht="11.25" hidden="false" customHeight="true" outlineLevel="0" collapsed="false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L466" s="54"/>
      <c r="M466" s="54"/>
      <c r="N466" s="195"/>
      <c r="O466" s="195"/>
      <c r="P466" s="195"/>
      <c r="Q466" s="54"/>
      <c r="R466" s="196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</row>
    <row r="467" customFormat="false" ht="11.25" hidden="false" customHeight="true" outlineLevel="0" collapsed="false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L467" s="54"/>
      <c r="M467" s="54"/>
      <c r="N467" s="195"/>
      <c r="O467" s="195"/>
      <c r="P467" s="195"/>
      <c r="Q467" s="54"/>
      <c r="R467" s="196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</row>
    <row r="468" customFormat="false" ht="11.25" hidden="false" customHeight="true" outlineLevel="0" collapsed="false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L468" s="54"/>
      <c r="M468" s="54"/>
      <c r="N468" s="195"/>
      <c r="O468" s="195"/>
      <c r="P468" s="195"/>
      <c r="Q468" s="54"/>
      <c r="R468" s="196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</row>
    <row r="469" customFormat="false" ht="11.25" hidden="false" customHeight="true" outlineLevel="0" collapsed="false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L469" s="54"/>
      <c r="M469" s="54"/>
      <c r="N469" s="195"/>
      <c r="O469" s="195"/>
      <c r="P469" s="195"/>
      <c r="Q469" s="54"/>
      <c r="R469" s="196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</row>
    <row r="470" customFormat="false" ht="11.25" hidden="false" customHeight="true" outlineLevel="0" collapsed="false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L470" s="54"/>
      <c r="M470" s="54"/>
      <c r="N470" s="195"/>
      <c r="O470" s="195"/>
      <c r="P470" s="195"/>
      <c r="Q470" s="54"/>
      <c r="R470" s="196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</row>
    <row r="471" customFormat="false" ht="11.25" hidden="false" customHeight="true" outlineLevel="0" collapsed="false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L471" s="54"/>
      <c r="M471" s="54"/>
      <c r="N471" s="195"/>
      <c r="O471" s="195"/>
      <c r="P471" s="195"/>
      <c r="Q471" s="54"/>
      <c r="R471" s="196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</row>
    <row r="472" customFormat="false" ht="11.25" hidden="false" customHeight="true" outlineLevel="0" collapsed="false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L472" s="54"/>
      <c r="M472" s="54"/>
      <c r="N472" s="195"/>
      <c r="O472" s="195"/>
      <c r="P472" s="195"/>
      <c r="Q472" s="54"/>
      <c r="R472" s="196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</row>
    <row r="473" customFormat="false" ht="11.25" hidden="false" customHeight="true" outlineLevel="0" collapsed="false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L473" s="54"/>
      <c r="M473" s="54"/>
      <c r="N473" s="195"/>
      <c r="O473" s="195"/>
      <c r="P473" s="195"/>
      <c r="Q473" s="54"/>
      <c r="R473" s="196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</row>
    <row r="474" customFormat="false" ht="11.25" hidden="false" customHeight="true" outlineLevel="0" collapsed="false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L474" s="54"/>
      <c r="M474" s="54"/>
      <c r="N474" s="195"/>
      <c r="O474" s="195"/>
      <c r="P474" s="195"/>
      <c r="Q474" s="54"/>
      <c r="R474" s="196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</row>
    <row r="475" customFormat="false" ht="11.25" hidden="false" customHeight="true" outlineLevel="0" collapsed="false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L475" s="54"/>
      <c r="M475" s="54"/>
      <c r="N475" s="195"/>
      <c r="O475" s="195"/>
      <c r="P475" s="195"/>
      <c r="Q475" s="54"/>
      <c r="R475" s="196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</row>
    <row r="476" customFormat="false" ht="11.25" hidden="false" customHeight="true" outlineLevel="0" collapsed="false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L476" s="54"/>
      <c r="M476" s="54"/>
      <c r="N476" s="195"/>
      <c r="O476" s="195"/>
      <c r="P476" s="195"/>
      <c r="Q476" s="54"/>
      <c r="R476" s="196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</row>
    <row r="477" customFormat="false" ht="11.25" hidden="false" customHeight="true" outlineLevel="0" collapsed="false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L477" s="54"/>
      <c r="M477" s="54"/>
      <c r="N477" s="195"/>
      <c r="O477" s="195"/>
      <c r="P477" s="195"/>
      <c r="Q477" s="54"/>
      <c r="R477" s="196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</row>
    <row r="478" customFormat="false" ht="11.25" hidden="false" customHeight="true" outlineLevel="0" collapsed="false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L478" s="54"/>
      <c r="M478" s="54"/>
      <c r="N478" s="195"/>
      <c r="O478" s="195"/>
      <c r="P478" s="195"/>
      <c r="Q478" s="54"/>
      <c r="R478" s="196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</row>
    <row r="479" customFormat="false" ht="11.25" hidden="false" customHeight="true" outlineLevel="0" collapsed="false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L479" s="54"/>
      <c r="M479" s="54"/>
      <c r="N479" s="195"/>
      <c r="O479" s="195"/>
      <c r="P479" s="195"/>
      <c r="Q479" s="54"/>
      <c r="R479" s="196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</row>
    <row r="480" customFormat="false" ht="11.25" hidden="false" customHeight="true" outlineLevel="0" collapsed="false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L480" s="54"/>
      <c r="M480" s="54"/>
      <c r="N480" s="195"/>
      <c r="O480" s="195"/>
      <c r="P480" s="195"/>
      <c r="Q480" s="54"/>
      <c r="R480" s="196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</row>
    <row r="481" customFormat="false" ht="11.25" hidden="false" customHeight="true" outlineLevel="0" collapsed="false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L481" s="54"/>
      <c r="M481" s="54"/>
      <c r="N481" s="195"/>
      <c r="O481" s="195"/>
      <c r="P481" s="195"/>
      <c r="Q481" s="54"/>
      <c r="R481" s="196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</row>
    <row r="482" customFormat="false" ht="11.25" hidden="false" customHeight="true" outlineLevel="0" collapsed="false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L482" s="54"/>
      <c r="M482" s="54"/>
      <c r="N482" s="195"/>
      <c r="O482" s="195"/>
      <c r="P482" s="195"/>
      <c r="Q482" s="54"/>
      <c r="R482" s="196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</row>
    <row r="483" customFormat="false" ht="11.25" hidden="false" customHeight="true" outlineLevel="0" collapsed="false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L483" s="54"/>
      <c r="M483" s="54"/>
      <c r="N483" s="195"/>
      <c r="O483" s="195"/>
      <c r="P483" s="195"/>
      <c r="Q483" s="54"/>
      <c r="R483" s="196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</row>
    <row r="484" customFormat="false" ht="11.25" hidden="false" customHeight="true" outlineLevel="0" collapsed="false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L484" s="54"/>
      <c r="M484" s="54"/>
      <c r="N484" s="195"/>
      <c r="O484" s="195"/>
      <c r="P484" s="195"/>
      <c r="Q484" s="54"/>
      <c r="R484" s="196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</row>
    <row r="485" customFormat="false" ht="11.25" hidden="false" customHeight="true" outlineLevel="0" collapsed="false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L485" s="54"/>
      <c r="M485" s="54"/>
      <c r="N485" s="195"/>
      <c r="O485" s="195"/>
      <c r="P485" s="195"/>
      <c r="Q485" s="54"/>
      <c r="R485" s="196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</row>
    <row r="486" customFormat="false" ht="11.25" hidden="false" customHeight="true" outlineLevel="0" collapsed="false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L486" s="54"/>
      <c r="M486" s="54"/>
      <c r="N486" s="195"/>
      <c r="O486" s="195"/>
      <c r="P486" s="195"/>
      <c r="Q486" s="54"/>
      <c r="R486" s="196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</row>
    <row r="487" customFormat="false" ht="11.25" hidden="false" customHeight="true" outlineLevel="0" collapsed="false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L487" s="54"/>
      <c r="M487" s="54"/>
      <c r="N487" s="195"/>
      <c r="O487" s="195"/>
      <c r="P487" s="195"/>
      <c r="Q487" s="54"/>
      <c r="R487" s="196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</row>
    <row r="488" customFormat="false" ht="11.25" hidden="false" customHeight="true" outlineLevel="0" collapsed="false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L488" s="54"/>
      <c r="M488" s="54"/>
      <c r="N488" s="195"/>
      <c r="O488" s="195"/>
      <c r="P488" s="195"/>
      <c r="Q488" s="54"/>
      <c r="R488" s="196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</row>
    <row r="489" customFormat="false" ht="11.25" hidden="false" customHeight="true" outlineLevel="0" collapsed="false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L489" s="54"/>
      <c r="M489" s="54"/>
      <c r="N489" s="195"/>
      <c r="O489" s="195"/>
      <c r="P489" s="195"/>
      <c r="Q489" s="54"/>
      <c r="R489" s="196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</row>
    <row r="490" customFormat="false" ht="11.25" hidden="false" customHeight="true" outlineLevel="0" collapsed="false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L490" s="54"/>
      <c r="M490" s="54"/>
      <c r="N490" s="195"/>
      <c r="O490" s="195"/>
      <c r="P490" s="195"/>
      <c r="Q490" s="54"/>
      <c r="R490" s="196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</row>
    <row r="491" customFormat="false" ht="11.25" hidden="false" customHeight="true" outlineLevel="0" collapsed="false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L491" s="54"/>
      <c r="M491" s="54"/>
      <c r="N491" s="195"/>
      <c r="O491" s="195"/>
      <c r="P491" s="195"/>
      <c r="Q491" s="54"/>
      <c r="R491" s="196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</row>
    <row r="492" customFormat="false" ht="11.25" hidden="false" customHeight="true" outlineLevel="0" collapsed="false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L492" s="54"/>
      <c r="M492" s="54"/>
      <c r="N492" s="195"/>
      <c r="O492" s="195"/>
      <c r="P492" s="195"/>
      <c r="Q492" s="54"/>
      <c r="R492" s="196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</row>
    <row r="493" customFormat="false" ht="11.25" hidden="false" customHeight="true" outlineLevel="0" collapsed="false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L493" s="54"/>
      <c r="M493" s="54"/>
      <c r="N493" s="195"/>
      <c r="O493" s="195"/>
      <c r="P493" s="195"/>
      <c r="Q493" s="54"/>
      <c r="R493" s="196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</row>
    <row r="494" customFormat="false" ht="11.25" hidden="false" customHeight="true" outlineLevel="0" collapsed="false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L494" s="54"/>
      <c r="M494" s="54"/>
      <c r="N494" s="195"/>
      <c r="O494" s="195"/>
      <c r="P494" s="195"/>
      <c r="Q494" s="54"/>
      <c r="R494" s="196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</row>
    <row r="495" customFormat="false" ht="11.25" hidden="false" customHeight="true" outlineLevel="0" collapsed="false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L495" s="54"/>
      <c r="M495" s="54"/>
      <c r="N495" s="195"/>
      <c r="O495" s="195"/>
      <c r="P495" s="195"/>
      <c r="Q495" s="54"/>
      <c r="R495" s="196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</row>
    <row r="496" customFormat="false" ht="11.25" hidden="false" customHeight="true" outlineLevel="0" collapsed="false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L496" s="54"/>
      <c r="M496" s="54"/>
      <c r="N496" s="195"/>
      <c r="O496" s="195"/>
      <c r="P496" s="195"/>
      <c r="Q496" s="54"/>
      <c r="R496" s="196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</row>
    <row r="497" customFormat="false" ht="11.25" hidden="false" customHeight="true" outlineLevel="0" collapsed="false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L497" s="54"/>
      <c r="M497" s="54"/>
      <c r="N497" s="195"/>
      <c r="O497" s="195"/>
      <c r="P497" s="195"/>
      <c r="Q497" s="54"/>
      <c r="R497" s="196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</row>
    <row r="498" customFormat="false" ht="11.25" hidden="false" customHeight="true" outlineLevel="0" collapsed="false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L498" s="54"/>
      <c r="M498" s="54"/>
      <c r="N498" s="195"/>
      <c r="O498" s="195"/>
      <c r="P498" s="195"/>
      <c r="Q498" s="54"/>
      <c r="R498" s="196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</row>
    <row r="499" customFormat="false" ht="11.25" hidden="false" customHeight="true" outlineLevel="0" collapsed="false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L499" s="54"/>
      <c r="M499" s="54"/>
      <c r="N499" s="195"/>
      <c r="O499" s="195"/>
      <c r="P499" s="195"/>
      <c r="Q499" s="54"/>
      <c r="R499" s="196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</row>
    <row r="500" customFormat="false" ht="11.25" hidden="false" customHeight="true" outlineLevel="0" collapsed="false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L500" s="54"/>
      <c r="M500" s="54"/>
      <c r="N500" s="195"/>
      <c r="O500" s="195"/>
      <c r="P500" s="195"/>
      <c r="Q500" s="54"/>
      <c r="R500" s="196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</row>
    <row r="501" customFormat="false" ht="11.25" hidden="false" customHeight="true" outlineLevel="0" collapsed="false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L501" s="54"/>
      <c r="M501" s="54"/>
      <c r="N501" s="195"/>
      <c r="O501" s="195"/>
      <c r="P501" s="195"/>
      <c r="Q501" s="54"/>
      <c r="R501" s="196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</row>
    <row r="502" customFormat="false" ht="11.25" hidden="false" customHeight="true" outlineLevel="0" collapsed="false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L502" s="54"/>
      <c r="M502" s="54"/>
      <c r="N502" s="195"/>
      <c r="O502" s="195"/>
      <c r="P502" s="195"/>
      <c r="Q502" s="54"/>
      <c r="R502" s="196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</row>
    <row r="503" customFormat="false" ht="11.25" hidden="false" customHeight="true" outlineLevel="0" collapsed="false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L503" s="54"/>
      <c r="M503" s="54"/>
      <c r="N503" s="195"/>
      <c r="O503" s="195"/>
      <c r="P503" s="195"/>
      <c r="Q503" s="54"/>
      <c r="R503" s="196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</row>
    <row r="504" customFormat="false" ht="11.25" hidden="false" customHeight="true" outlineLevel="0" collapsed="false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L504" s="54"/>
      <c r="M504" s="54"/>
      <c r="N504" s="195"/>
      <c r="O504" s="195"/>
      <c r="P504" s="195"/>
      <c r="Q504" s="54"/>
      <c r="R504" s="196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</row>
    <row r="505" customFormat="false" ht="11.25" hidden="false" customHeight="true" outlineLevel="0" collapsed="false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L505" s="54"/>
      <c r="M505" s="54"/>
      <c r="N505" s="195"/>
      <c r="O505" s="195"/>
      <c r="P505" s="195"/>
      <c r="Q505" s="54"/>
      <c r="R505" s="196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</row>
    <row r="506" customFormat="false" ht="11.25" hidden="false" customHeight="true" outlineLevel="0" collapsed="false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L506" s="54"/>
      <c r="M506" s="54"/>
      <c r="N506" s="195"/>
      <c r="O506" s="195"/>
      <c r="P506" s="195"/>
      <c r="Q506" s="54"/>
      <c r="R506" s="196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</row>
    <row r="507" customFormat="false" ht="11.25" hidden="false" customHeight="true" outlineLevel="0" collapsed="false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L507" s="54"/>
      <c r="M507" s="54"/>
      <c r="N507" s="195"/>
      <c r="O507" s="195"/>
      <c r="P507" s="195"/>
      <c r="Q507" s="54"/>
      <c r="R507" s="196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</row>
    <row r="508" customFormat="false" ht="11.25" hidden="false" customHeight="true" outlineLevel="0" collapsed="false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L508" s="54"/>
      <c r="M508" s="54"/>
      <c r="N508" s="195"/>
      <c r="O508" s="195"/>
      <c r="P508" s="195"/>
      <c r="Q508" s="54"/>
      <c r="R508" s="196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</row>
    <row r="509" customFormat="false" ht="11.25" hidden="false" customHeight="true" outlineLevel="0" collapsed="false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L509" s="54"/>
      <c r="M509" s="54"/>
      <c r="N509" s="195"/>
      <c r="O509" s="195"/>
      <c r="P509" s="195"/>
      <c r="Q509" s="54"/>
      <c r="R509" s="196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</row>
    <row r="510" customFormat="false" ht="11.25" hidden="false" customHeight="true" outlineLevel="0" collapsed="false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L510" s="54"/>
      <c r="M510" s="54"/>
      <c r="N510" s="195"/>
      <c r="O510" s="195"/>
      <c r="P510" s="195"/>
      <c r="Q510" s="54"/>
      <c r="R510" s="196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</row>
    <row r="511" customFormat="false" ht="11.25" hidden="false" customHeight="true" outlineLevel="0" collapsed="false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L511" s="54"/>
      <c r="M511" s="54"/>
      <c r="N511" s="195"/>
      <c r="O511" s="195"/>
      <c r="P511" s="195"/>
      <c r="Q511" s="54"/>
      <c r="R511" s="196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</row>
    <row r="512" customFormat="false" ht="11.25" hidden="false" customHeight="true" outlineLevel="0" collapsed="false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L512" s="54"/>
      <c r="M512" s="54"/>
      <c r="N512" s="195"/>
      <c r="O512" s="195"/>
      <c r="P512" s="195"/>
      <c r="Q512" s="54"/>
      <c r="R512" s="196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</row>
    <row r="513" customFormat="false" ht="11.25" hidden="false" customHeight="true" outlineLevel="0" collapsed="false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L513" s="54"/>
      <c r="M513" s="54"/>
      <c r="N513" s="195"/>
      <c r="O513" s="195"/>
      <c r="P513" s="195"/>
      <c r="Q513" s="54"/>
      <c r="R513" s="196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</row>
    <row r="514" customFormat="false" ht="11.25" hidden="false" customHeight="true" outlineLevel="0" collapsed="false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L514" s="54"/>
      <c r="M514" s="54"/>
      <c r="N514" s="195"/>
      <c r="O514" s="195"/>
      <c r="P514" s="195"/>
      <c r="Q514" s="54"/>
      <c r="R514" s="196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</row>
    <row r="515" customFormat="false" ht="11.25" hidden="false" customHeight="true" outlineLevel="0" collapsed="false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L515" s="54"/>
      <c r="M515" s="54"/>
      <c r="N515" s="195"/>
      <c r="O515" s="195"/>
      <c r="P515" s="195"/>
      <c r="Q515" s="54"/>
      <c r="R515" s="196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</row>
    <row r="516" customFormat="false" ht="11.25" hidden="false" customHeight="true" outlineLevel="0" collapsed="false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L516" s="54"/>
      <c r="M516" s="54"/>
      <c r="N516" s="195"/>
      <c r="O516" s="195"/>
      <c r="P516" s="195"/>
      <c r="Q516" s="54"/>
      <c r="R516" s="196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</row>
    <row r="517" customFormat="false" ht="11.25" hidden="false" customHeight="true" outlineLevel="0" collapsed="false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L517" s="54"/>
      <c r="M517" s="54"/>
      <c r="N517" s="195"/>
      <c r="O517" s="195"/>
      <c r="P517" s="195"/>
      <c r="Q517" s="54"/>
      <c r="R517" s="196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</row>
    <row r="518" customFormat="false" ht="11.25" hidden="false" customHeight="true" outlineLevel="0" collapsed="false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L518" s="54"/>
      <c r="M518" s="54"/>
      <c r="N518" s="195"/>
      <c r="O518" s="195"/>
      <c r="P518" s="195"/>
      <c r="Q518" s="54"/>
      <c r="R518" s="196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</row>
    <row r="519" customFormat="false" ht="11.25" hidden="false" customHeight="true" outlineLevel="0" collapsed="false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L519" s="54"/>
      <c r="M519" s="54"/>
      <c r="N519" s="195"/>
      <c r="O519" s="195"/>
      <c r="P519" s="195"/>
      <c r="Q519" s="54"/>
      <c r="R519" s="196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</row>
    <row r="520" customFormat="false" ht="11.25" hidden="false" customHeight="true" outlineLevel="0" collapsed="false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L520" s="54"/>
      <c r="M520" s="54"/>
      <c r="N520" s="195"/>
      <c r="O520" s="195"/>
      <c r="P520" s="195"/>
      <c r="Q520" s="54"/>
      <c r="R520" s="196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</row>
    <row r="521" customFormat="false" ht="11.25" hidden="false" customHeight="true" outlineLevel="0" collapsed="false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L521" s="54"/>
      <c r="M521" s="54"/>
      <c r="N521" s="195"/>
      <c r="O521" s="195"/>
      <c r="P521" s="195"/>
      <c r="Q521" s="54"/>
      <c r="R521" s="196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</row>
    <row r="522" customFormat="false" ht="11.25" hidden="false" customHeight="true" outlineLevel="0" collapsed="false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L522" s="54"/>
      <c r="M522" s="54"/>
      <c r="N522" s="195"/>
      <c r="O522" s="195"/>
      <c r="P522" s="195"/>
      <c r="Q522" s="54"/>
      <c r="R522" s="196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</row>
    <row r="523" customFormat="false" ht="11.25" hidden="false" customHeight="true" outlineLevel="0" collapsed="false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L523" s="54"/>
      <c r="M523" s="54"/>
      <c r="N523" s="195"/>
      <c r="O523" s="195"/>
      <c r="P523" s="195"/>
      <c r="Q523" s="54"/>
      <c r="R523" s="196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</row>
    <row r="524" customFormat="false" ht="11.25" hidden="false" customHeight="true" outlineLevel="0" collapsed="false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L524" s="54"/>
      <c r="M524" s="54"/>
      <c r="N524" s="195"/>
      <c r="O524" s="195"/>
      <c r="P524" s="195"/>
      <c r="Q524" s="54"/>
      <c r="R524" s="196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</row>
    <row r="525" customFormat="false" ht="11.25" hidden="false" customHeight="true" outlineLevel="0" collapsed="false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L525" s="54"/>
      <c r="M525" s="54"/>
      <c r="N525" s="195"/>
      <c r="O525" s="195"/>
      <c r="P525" s="195"/>
      <c r="Q525" s="54"/>
      <c r="R525" s="196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</row>
    <row r="526" customFormat="false" ht="11.25" hidden="false" customHeight="true" outlineLevel="0" collapsed="false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L526" s="54"/>
      <c r="M526" s="54"/>
      <c r="N526" s="195"/>
      <c r="O526" s="195"/>
      <c r="P526" s="195"/>
      <c r="Q526" s="54"/>
      <c r="R526" s="196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</row>
    <row r="527" customFormat="false" ht="11.25" hidden="false" customHeight="true" outlineLevel="0" collapsed="false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L527" s="54"/>
      <c r="M527" s="54"/>
      <c r="N527" s="195"/>
      <c r="O527" s="195"/>
      <c r="P527" s="195"/>
      <c r="Q527" s="54"/>
      <c r="R527" s="196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</row>
    <row r="528" customFormat="false" ht="11.25" hidden="false" customHeight="true" outlineLevel="0" collapsed="false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L528" s="54"/>
      <c r="M528" s="54"/>
      <c r="N528" s="195"/>
      <c r="O528" s="195"/>
      <c r="P528" s="195"/>
      <c r="Q528" s="54"/>
      <c r="R528" s="196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</row>
    <row r="529" customFormat="false" ht="11.25" hidden="false" customHeight="true" outlineLevel="0" collapsed="false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L529" s="54"/>
      <c r="M529" s="54"/>
      <c r="N529" s="195"/>
      <c r="O529" s="195"/>
      <c r="P529" s="195"/>
      <c r="Q529" s="54"/>
      <c r="R529" s="196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</row>
    <row r="530" customFormat="false" ht="11.25" hidden="false" customHeight="true" outlineLevel="0" collapsed="false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L530" s="54"/>
      <c r="M530" s="54"/>
      <c r="N530" s="195"/>
      <c r="O530" s="195"/>
      <c r="P530" s="195"/>
      <c r="Q530" s="54"/>
      <c r="R530" s="196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</row>
    <row r="531" customFormat="false" ht="11.25" hidden="false" customHeight="true" outlineLevel="0" collapsed="false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L531" s="54"/>
      <c r="M531" s="54"/>
      <c r="N531" s="195"/>
      <c r="O531" s="195"/>
      <c r="P531" s="195"/>
      <c r="Q531" s="54"/>
      <c r="R531" s="196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</row>
    <row r="532" customFormat="false" ht="11.25" hidden="false" customHeight="true" outlineLevel="0" collapsed="false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L532" s="54"/>
      <c r="M532" s="54"/>
      <c r="N532" s="195"/>
      <c r="O532" s="195"/>
      <c r="P532" s="195"/>
      <c r="Q532" s="54"/>
      <c r="R532" s="196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</row>
    <row r="533" customFormat="false" ht="11.25" hidden="false" customHeight="true" outlineLevel="0" collapsed="false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L533" s="54"/>
      <c r="M533" s="54"/>
      <c r="N533" s="195"/>
      <c r="O533" s="195"/>
      <c r="P533" s="195"/>
      <c r="Q533" s="54"/>
      <c r="R533" s="196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</row>
    <row r="534" customFormat="false" ht="11.25" hidden="false" customHeight="true" outlineLevel="0" collapsed="false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L534" s="54"/>
      <c r="M534" s="54"/>
      <c r="N534" s="195"/>
      <c r="O534" s="195"/>
      <c r="P534" s="195"/>
      <c r="Q534" s="54"/>
      <c r="R534" s="196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</row>
    <row r="535" customFormat="false" ht="11.25" hidden="false" customHeight="true" outlineLevel="0" collapsed="false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L535" s="54"/>
      <c r="M535" s="54"/>
      <c r="N535" s="195"/>
      <c r="O535" s="195"/>
      <c r="P535" s="195"/>
      <c r="Q535" s="54"/>
      <c r="R535" s="196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</row>
    <row r="536" customFormat="false" ht="11.25" hidden="false" customHeight="true" outlineLevel="0" collapsed="false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L536" s="54"/>
      <c r="M536" s="54"/>
      <c r="N536" s="195"/>
      <c r="O536" s="195"/>
      <c r="P536" s="195"/>
      <c r="Q536" s="54"/>
      <c r="R536" s="196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</row>
    <row r="537" customFormat="false" ht="11.25" hidden="false" customHeight="true" outlineLevel="0" collapsed="false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L537" s="54"/>
      <c r="M537" s="54"/>
      <c r="N537" s="195"/>
      <c r="O537" s="195"/>
      <c r="P537" s="195"/>
      <c r="Q537" s="54"/>
      <c r="R537" s="196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</row>
    <row r="538" customFormat="false" ht="11.25" hidden="false" customHeight="true" outlineLevel="0" collapsed="false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L538" s="54"/>
      <c r="M538" s="54"/>
      <c r="N538" s="195"/>
      <c r="O538" s="195"/>
      <c r="P538" s="195"/>
      <c r="Q538" s="54"/>
      <c r="R538" s="196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</row>
    <row r="539" customFormat="false" ht="11.25" hidden="false" customHeight="true" outlineLevel="0" collapsed="false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L539" s="54"/>
      <c r="M539" s="54"/>
      <c r="N539" s="195"/>
      <c r="O539" s="195"/>
      <c r="P539" s="195"/>
      <c r="Q539" s="54"/>
      <c r="R539" s="196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</row>
    <row r="540" customFormat="false" ht="11.25" hidden="false" customHeight="true" outlineLevel="0" collapsed="false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L540" s="54"/>
      <c r="M540" s="54"/>
      <c r="N540" s="195"/>
      <c r="O540" s="195"/>
      <c r="P540" s="195"/>
      <c r="Q540" s="54"/>
      <c r="R540" s="196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</row>
    <row r="541" customFormat="false" ht="11.25" hidden="false" customHeight="true" outlineLevel="0" collapsed="false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L541" s="54"/>
      <c r="M541" s="54"/>
      <c r="N541" s="195"/>
      <c r="O541" s="195"/>
      <c r="P541" s="195"/>
      <c r="Q541" s="54"/>
      <c r="R541" s="196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</row>
    <row r="542" customFormat="false" ht="11.25" hidden="false" customHeight="true" outlineLevel="0" collapsed="false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L542" s="54"/>
      <c r="M542" s="54"/>
      <c r="N542" s="195"/>
      <c r="O542" s="195"/>
      <c r="P542" s="195"/>
      <c r="Q542" s="54"/>
      <c r="R542" s="196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</row>
    <row r="543" customFormat="false" ht="11.25" hidden="false" customHeight="true" outlineLevel="0" collapsed="false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L543" s="54"/>
      <c r="M543" s="54"/>
      <c r="N543" s="195"/>
      <c r="O543" s="195"/>
      <c r="P543" s="195"/>
      <c r="Q543" s="54"/>
      <c r="R543" s="196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</row>
    <row r="544" customFormat="false" ht="11.25" hidden="false" customHeight="true" outlineLevel="0" collapsed="false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L544" s="54"/>
      <c r="M544" s="54"/>
      <c r="N544" s="195"/>
      <c r="O544" s="195"/>
      <c r="P544" s="195"/>
      <c r="Q544" s="54"/>
      <c r="R544" s="196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</row>
    <row r="545" customFormat="false" ht="11.25" hidden="false" customHeight="true" outlineLevel="0" collapsed="false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L545" s="54"/>
      <c r="M545" s="54"/>
      <c r="N545" s="195"/>
      <c r="O545" s="195"/>
      <c r="P545" s="195"/>
      <c r="Q545" s="54"/>
      <c r="R545" s="196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</row>
    <row r="546" customFormat="false" ht="11.25" hidden="false" customHeight="true" outlineLevel="0" collapsed="false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L546" s="54"/>
      <c r="M546" s="54"/>
      <c r="N546" s="195"/>
      <c r="O546" s="195"/>
      <c r="P546" s="195"/>
      <c r="Q546" s="54"/>
      <c r="R546" s="196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</row>
    <row r="547" customFormat="false" ht="11.25" hidden="false" customHeight="true" outlineLevel="0" collapsed="false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L547" s="54"/>
      <c r="M547" s="54"/>
      <c r="N547" s="195"/>
      <c r="O547" s="195"/>
      <c r="P547" s="195"/>
      <c r="Q547" s="54"/>
      <c r="R547" s="196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</row>
    <row r="548" customFormat="false" ht="11.25" hidden="false" customHeight="true" outlineLevel="0" collapsed="false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L548" s="54"/>
      <c r="M548" s="54"/>
      <c r="N548" s="195"/>
      <c r="O548" s="195"/>
      <c r="P548" s="195"/>
      <c r="Q548" s="54"/>
      <c r="R548" s="196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</row>
    <row r="549" customFormat="false" ht="11.25" hidden="false" customHeight="true" outlineLevel="0" collapsed="false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L549" s="54"/>
      <c r="M549" s="54"/>
      <c r="N549" s="195"/>
      <c r="O549" s="195"/>
      <c r="P549" s="195"/>
      <c r="Q549" s="54"/>
      <c r="R549" s="196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</row>
    <row r="550" customFormat="false" ht="11.25" hidden="false" customHeight="true" outlineLevel="0" collapsed="false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L550" s="54"/>
      <c r="M550" s="54"/>
      <c r="N550" s="195"/>
      <c r="O550" s="195"/>
      <c r="P550" s="195"/>
      <c r="Q550" s="54"/>
      <c r="R550" s="196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</row>
    <row r="551" customFormat="false" ht="11.25" hidden="false" customHeight="true" outlineLevel="0" collapsed="false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L551" s="54"/>
      <c r="M551" s="54"/>
      <c r="N551" s="195"/>
      <c r="O551" s="195"/>
      <c r="P551" s="195"/>
      <c r="Q551" s="54"/>
      <c r="R551" s="196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</row>
    <row r="552" customFormat="false" ht="11.25" hidden="false" customHeight="true" outlineLevel="0" collapsed="false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L552" s="54"/>
      <c r="M552" s="54"/>
      <c r="N552" s="195"/>
      <c r="O552" s="195"/>
      <c r="P552" s="195"/>
      <c r="Q552" s="54"/>
      <c r="R552" s="196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</row>
    <row r="553" customFormat="false" ht="11.25" hidden="false" customHeight="true" outlineLevel="0" collapsed="false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L553" s="54"/>
      <c r="M553" s="54"/>
      <c r="N553" s="195"/>
      <c r="O553" s="195"/>
      <c r="P553" s="195"/>
      <c r="Q553" s="54"/>
      <c r="R553" s="196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</row>
    <row r="554" customFormat="false" ht="11.25" hidden="false" customHeight="true" outlineLevel="0" collapsed="false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L554" s="54"/>
      <c r="M554" s="54"/>
      <c r="N554" s="195"/>
      <c r="O554" s="195"/>
      <c r="P554" s="195"/>
      <c r="Q554" s="54"/>
      <c r="R554" s="196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</row>
    <row r="555" customFormat="false" ht="11.25" hidden="false" customHeight="true" outlineLevel="0" collapsed="false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L555" s="54"/>
      <c r="M555" s="54"/>
      <c r="N555" s="195"/>
      <c r="O555" s="195"/>
      <c r="P555" s="195"/>
      <c r="Q555" s="54"/>
      <c r="R555" s="196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</row>
    <row r="556" customFormat="false" ht="11.25" hidden="false" customHeight="true" outlineLevel="0" collapsed="false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L556" s="54"/>
      <c r="M556" s="54"/>
      <c r="N556" s="195"/>
      <c r="O556" s="195"/>
      <c r="P556" s="195"/>
      <c r="Q556" s="54"/>
      <c r="R556" s="196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</row>
    <row r="557" customFormat="false" ht="11.25" hidden="false" customHeight="true" outlineLevel="0" collapsed="false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L557" s="54"/>
      <c r="M557" s="54"/>
      <c r="N557" s="195"/>
      <c r="O557" s="195"/>
      <c r="P557" s="195"/>
      <c r="Q557" s="54"/>
      <c r="R557" s="196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</row>
    <row r="558" customFormat="false" ht="11.25" hidden="false" customHeight="true" outlineLevel="0" collapsed="false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L558" s="54"/>
      <c r="M558" s="54"/>
      <c r="N558" s="195"/>
      <c r="O558" s="195"/>
      <c r="P558" s="195"/>
      <c r="Q558" s="54"/>
      <c r="R558" s="196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</row>
    <row r="559" customFormat="false" ht="11.25" hidden="false" customHeight="true" outlineLevel="0" collapsed="false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L559" s="54"/>
      <c r="M559" s="54"/>
      <c r="N559" s="195"/>
      <c r="O559" s="195"/>
      <c r="P559" s="195"/>
      <c r="Q559" s="54"/>
      <c r="R559" s="196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</row>
    <row r="560" customFormat="false" ht="11.25" hidden="false" customHeight="true" outlineLevel="0" collapsed="false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L560" s="54"/>
      <c r="M560" s="54"/>
      <c r="N560" s="195"/>
      <c r="O560" s="195"/>
      <c r="P560" s="195"/>
      <c r="Q560" s="54"/>
      <c r="R560" s="196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</row>
    <row r="561" customFormat="false" ht="11.25" hidden="false" customHeight="true" outlineLevel="0" collapsed="false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L561" s="54"/>
      <c r="M561" s="54"/>
      <c r="N561" s="195"/>
      <c r="O561" s="195"/>
      <c r="P561" s="195"/>
      <c r="Q561" s="54"/>
      <c r="R561" s="196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</row>
    <row r="562" customFormat="false" ht="11.25" hidden="false" customHeight="true" outlineLevel="0" collapsed="false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L562" s="54"/>
      <c r="M562" s="54"/>
      <c r="N562" s="195"/>
      <c r="O562" s="195"/>
      <c r="P562" s="195"/>
      <c r="Q562" s="54"/>
      <c r="R562" s="196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</row>
    <row r="563" customFormat="false" ht="11.25" hidden="false" customHeight="true" outlineLevel="0" collapsed="false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L563" s="54"/>
      <c r="M563" s="54"/>
      <c r="N563" s="195"/>
      <c r="O563" s="195"/>
      <c r="P563" s="195"/>
      <c r="Q563" s="54"/>
      <c r="R563" s="196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</row>
    <row r="564" customFormat="false" ht="11.25" hidden="false" customHeight="true" outlineLevel="0" collapsed="false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L564" s="54"/>
      <c r="M564" s="54"/>
      <c r="N564" s="195"/>
      <c r="O564" s="195"/>
      <c r="P564" s="195"/>
      <c r="Q564" s="54"/>
      <c r="R564" s="196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</row>
    <row r="565" customFormat="false" ht="11.25" hidden="false" customHeight="true" outlineLevel="0" collapsed="false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L565" s="54"/>
      <c r="M565" s="54"/>
      <c r="N565" s="195"/>
      <c r="O565" s="195"/>
      <c r="P565" s="195"/>
      <c r="Q565" s="54"/>
      <c r="R565" s="196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</row>
    <row r="566" customFormat="false" ht="11.25" hidden="false" customHeight="true" outlineLevel="0" collapsed="false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L566" s="54"/>
      <c r="M566" s="54"/>
      <c r="N566" s="195"/>
      <c r="O566" s="195"/>
      <c r="P566" s="195"/>
      <c r="Q566" s="54"/>
      <c r="R566" s="196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</row>
    <row r="567" customFormat="false" ht="11.25" hidden="false" customHeight="true" outlineLevel="0" collapsed="false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L567" s="54"/>
      <c r="M567" s="54"/>
      <c r="N567" s="195"/>
      <c r="O567" s="195"/>
      <c r="P567" s="195"/>
      <c r="Q567" s="54"/>
      <c r="R567" s="196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</row>
    <row r="568" customFormat="false" ht="11.25" hidden="false" customHeight="true" outlineLevel="0" collapsed="false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L568" s="54"/>
      <c r="M568" s="54"/>
      <c r="N568" s="195"/>
      <c r="O568" s="195"/>
      <c r="P568" s="195"/>
      <c r="Q568" s="54"/>
      <c r="R568" s="196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</row>
    <row r="569" customFormat="false" ht="11.25" hidden="false" customHeight="true" outlineLevel="0" collapsed="false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L569" s="54"/>
      <c r="M569" s="54"/>
      <c r="N569" s="195"/>
      <c r="O569" s="195"/>
      <c r="P569" s="195"/>
      <c r="Q569" s="54"/>
      <c r="R569" s="196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</row>
    <row r="570" customFormat="false" ht="11.25" hidden="false" customHeight="true" outlineLevel="0" collapsed="false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L570" s="54"/>
      <c r="M570" s="54"/>
      <c r="N570" s="195"/>
      <c r="O570" s="195"/>
      <c r="P570" s="195"/>
      <c r="Q570" s="54"/>
      <c r="R570" s="196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</row>
    <row r="571" customFormat="false" ht="11.25" hidden="false" customHeight="true" outlineLevel="0" collapsed="false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L571" s="54"/>
      <c r="M571" s="54"/>
      <c r="N571" s="195"/>
      <c r="O571" s="195"/>
      <c r="P571" s="195"/>
      <c r="Q571" s="54"/>
      <c r="R571" s="196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</row>
    <row r="572" customFormat="false" ht="11.25" hidden="false" customHeight="true" outlineLevel="0" collapsed="false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L572" s="54"/>
      <c r="M572" s="54"/>
      <c r="N572" s="195"/>
      <c r="O572" s="195"/>
      <c r="P572" s="195"/>
      <c r="Q572" s="54"/>
      <c r="R572" s="196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</row>
    <row r="573" customFormat="false" ht="11.25" hidden="false" customHeight="true" outlineLevel="0" collapsed="false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L573" s="54"/>
      <c r="M573" s="54"/>
      <c r="N573" s="195"/>
      <c r="O573" s="195"/>
      <c r="P573" s="195"/>
      <c r="Q573" s="54"/>
      <c r="R573" s="196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</row>
    <row r="574" customFormat="false" ht="11.25" hidden="false" customHeight="true" outlineLevel="0" collapsed="false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L574" s="54"/>
      <c r="M574" s="54"/>
      <c r="N574" s="195"/>
      <c r="O574" s="195"/>
      <c r="P574" s="195"/>
      <c r="Q574" s="54"/>
      <c r="R574" s="196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</row>
    <row r="575" customFormat="false" ht="11.25" hidden="false" customHeight="true" outlineLevel="0" collapsed="false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L575" s="54"/>
      <c r="M575" s="54"/>
      <c r="N575" s="195"/>
      <c r="O575" s="195"/>
      <c r="P575" s="195"/>
      <c r="Q575" s="54"/>
      <c r="R575" s="196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</row>
    <row r="576" customFormat="false" ht="11.25" hidden="false" customHeight="true" outlineLevel="0" collapsed="false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L576" s="54"/>
      <c r="M576" s="54"/>
      <c r="N576" s="195"/>
      <c r="O576" s="195"/>
      <c r="P576" s="195"/>
      <c r="Q576" s="54"/>
      <c r="R576" s="196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</row>
    <row r="577" customFormat="false" ht="11.25" hidden="false" customHeight="true" outlineLevel="0" collapsed="false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L577" s="54"/>
      <c r="M577" s="54"/>
      <c r="N577" s="195"/>
      <c r="O577" s="195"/>
      <c r="P577" s="195"/>
      <c r="Q577" s="54"/>
      <c r="R577" s="196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</row>
    <row r="578" customFormat="false" ht="11.25" hidden="false" customHeight="true" outlineLevel="0" collapsed="false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L578" s="54"/>
      <c r="M578" s="54"/>
      <c r="N578" s="195"/>
      <c r="O578" s="195"/>
      <c r="P578" s="195"/>
      <c r="Q578" s="54"/>
      <c r="R578" s="196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</row>
    <row r="579" customFormat="false" ht="11.25" hidden="false" customHeight="true" outlineLevel="0" collapsed="false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L579" s="54"/>
      <c r="M579" s="54"/>
      <c r="N579" s="195"/>
      <c r="O579" s="195"/>
      <c r="P579" s="195"/>
      <c r="Q579" s="54"/>
      <c r="R579" s="196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</row>
    <row r="580" customFormat="false" ht="11.25" hidden="false" customHeight="true" outlineLevel="0" collapsed="false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L580" s="54"/>
      <c r="M580" s="54"/>
      <c r="N580" s="195"/>
      <c r="O580" s="195"/>
      <c r="P580" s="195"/>
      <c r="Q580" s="54"/>
      <c r="R580" s="196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</row>
    <row r="581" customFormat="false" ht="11.25" hidden="false" customHeight="true" outlineLevel="0" collapsed="false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L581" s="54"/>
      <c r="M581" s="54"/>
      <c r="N581" s="195"/>
      <c r="O581" s="195"/>
      <c r="P581" s="195"/>
      <c r="Q581" s="54"/>
      <c r="R581" s="196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</row>
    <row r="582" customFormat="false" ht="11.25" hidden="false" customHeight="true" outlineLevel="0" collapsed="false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L582" s="54"/>
      <c r="M582" s="54"/>
      <c r="N582" s="195"/>
      <c r="O582" s="195"/>
      <c r="P582" s="195"/>
      <c r="Q582" s="54"/>
      <c r="R582" s="196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</row>
    <row r="583" customFormat="false" ht="11.25" hidden="false" customHeight="true" outlineLevel="0" collapsed="false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L583" s="54"/>
      <c r="M583" s="54"/>
      <c r="N583" s="195"/>
      <c r="O583" s="195"/>
      <c r="P583" s="195"/>
      <c r="Q583" s="54"/>
      <c r="R583" s="196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</row>
    <row r="584" customFormat="false" ht="11.25" hidden="false" customHeight="true" outlineLevel="0" collapsed="false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L584" s="54"/>
      <c r="M584" s="54"/>
      <c r="N584" s="195"/>
      <c r="O584" s="195"/>
      <c r="P584" s="195"/>
      <c r="Q584" s="54"/>
      <c r="R584" s="196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</row>
    <row r="585" customFormat="false" ht="11.25" hidden="false" customHeight="true" outlineLevel="0" collapsed="false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L585" s="54"/>
      <c r="M585" s="54"/>
      <c r="N585" s="195"/>
      <c r="O585" s="195"/>
      <c r="P585" s="195"/>
      <c r="Q585" s="54"/>
      <c r="R585" s="196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</row>
    <row r="586" customFormat="false" ht="11.25" hidden="false" customHeight="true" outlineLevel="0" collapsed="false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L586" s="54"/>
      <c r="M586" s="54"/>
      <c r="N586" s="195"/>
      <c r="O586" s="195"/>
      <c r="P586" s="195"/>
      <c r="Q586" s="54"/>
      <c r="R586" s="196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</row>
    <row r="587" customFormat="false" ht="11.25" hidden="false" customHeight="true" outlineLevel="0" collapsed="false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L587" s="54"/>
      <c r="M587" s="54"/>
      <c r="N587" s="195"/>
      <c r="O587" s="195"/>
      <c r="P587" s="195"/>
      <c r="Q587" s="54"/>
      <c r="R587" s="196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</row>
    <row r="588" customFormat="false" ht="11.25" hidden="false" customHeight="true" outlineLevel="0" collapsed="false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L588" s="54"/>
      <c r="M588" s="54"/>
      <c r="N588" s="195"/>
      <c r="O588" s="195"/>
      <c r="P588" s="195"/>
      <c r="Q588" s="54"/>
      <c r="R588" s="196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</row>
    <row r="589" customFormat="false" ht="11.25" hidden="false" customHeight="true" outlineLevel="0" collapsed="false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L589" s="54"/>
      <c r="M589" s="54"/>
      <c r="N589" s="195"/>
      <c r="O589" s="195"/>
      <c r="P589" s="195"/>
      <c r="Q589" s="54"/>
      <c r="R589" s="196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</row>
    <row r="590" customFormat="false" ht="11.25" hidden="false" customHeight="true" outlineLevel="0" collapsed="false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L590" s="54"/>
      <c r="M590" s="54"/>
      <c r="N590" s="195"/>
      <c r="O590" s="195"/>
      <c r="P590" s="195"/>
      <c r="Q590" s="54"/>
      <c r="R590" s="196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</row>
    <row r="591" customFormat="false" ht="11.25" hidden="false" customHeight="true" outlineLevel="0" collapsed="false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L591" s="54"/>
      <c r="M591" s="54"/>
      <c r="N591" s="195"/>
      <c r="O591" s="195"/>
      <c r="P591" s="195"/>
      <c r="Q591" s="54"/>
      <c r="R591" s="196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</row>
    <row r="592" customFormat="false" ht="11.25" hidden="false" customHeight="true" outlineLevel="0" collapsed="false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L592" s="54"/>
      <c r="M592" s="54"/>
      <c r="N592" s="195"/>
      <c r="O592" s="195"/>
      <c r="P592" s="195"/>
      <c r="Q592" s="54"/>
      <c r="R592" s="196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</row>
    <row r="593" customFormat="false" ht="11.25" hidden="false" customHeight="true" outlineLevel="0" collapsed="false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L593" s="54"/>
      <c r="M593" s="54"/>
      <c r="N593" s="195"/>
      <c r="O593" s="195"/>
      <c r="P593" s="195"/>
      <c r="Q593" s="54"/>
      <c r="R593" s="196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</row>
    <row r="594" customFormat="false" ht="11.25" hidden="false" customHeight="true" outlineLevel="0" collapsed="false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L594" s="54"/>
      <c r="M594" s="54"/>
      <c r="N594" s="195"/>
      <c r="O594" s="195"/>
      <c r="P594" s="195"/>
      <c r="Q594" s="54"/>
      <c r="R594" s="196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</row>
    <row r="595" customFormat="false" ht="11.25" hidden="false" customHeight="true" outlineLevel="0" collapsed="false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L595" s="54"/>
      <c r="M595" s="54"/>
      <c r="N595" s="195"/>
      <c r="O595" s="195"/>
      <c r="P595" s="195"/>
      <c r="Q595" s="54"/>
      <c r="R595" s="196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</row>
    <row r="596" customFormat="false" ht="11.25" hidden="false" customHeight="true" outlineLevel="0" collapsed="false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L596" s="54"/>
      <c r="M596" s="54"/>
      <c r="N596" s="195"/>
      <c r="O596" s="195"/>
      <c r="P596" s="195"/>
      <c r="Q596" s="54"/>
      <c r="R596" s="196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</row>
    <row r="597" customFormat="false" ht="11.25" hidden="false" customHeight="true" outlineLevel="0" collapsed="false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L597" s="54"/>
      <c r="M597" s="54"/>
      <c r="N597" s="195"/>
      <c r="O597" s="195"/>
      <c r="P597" s="195"/>
      <c r="Q597" s="54"/>
      <c r="R597" s="196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</row>
    <row r="598" customFormat="false" ht="11.25" hidden="false" customHeight="true" outlineLevel="0" collapsed="false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L598" s="54"/>
      <c r="M598" s="54"/>
      <c r="N598" s="195"/>
      <c r="O598" s="195"/>
      <c r="P598" s="195"/>
      <c r="Q598" s="54"/>
      <c r="R598" s="196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</row>
    <row r="599" customFormat="false" ht="11.25" hidden="false" customHeight="true" outlineLevel="0" collapsed="false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L599" s="54"/>
      <c r="M599" s="54"/>
      <c r="N599" s="195"/>
      <c r="O599" s="195"/>
      <c r="P599" s="195"/>
      <c r="Q599" s="54"/>
      <c r="R599" s="196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</row>
    <row r="600" customFormat="false" ht="11.25" hidden="false" customHeight="true" outlineLevel="0" collapsed="false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L600" s="54"/>
      <c r="M600" s="54"/>
      <c r="N600" s="195"/>
      <c r="O600" s="195"/>
      <c r="P600" s="195"/>
      <c r="Q600" s="54"/>
      <c r="R600" s="196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</row>
    <row r="601" customFormat="false" ht="11.25" hidden="false" customHeight="true" outlineLevel="0" collapsed="false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L601" s="54"/>
      <c r="M601" s="54"/>
      <c r="N601" s="195"/>
      <c r="O601" s="195"/>
      <c r="P601" s="195"/>
      <c r="Q601" s="54"/>
      <c r="R601" s="196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</row>
    <row r="602" customFormat="false" ht="11.25" hidden="false" customHeight="true" outlineLevel="0" collapsed="false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L602" s="54"/>
      <c r="M602" s="54"/>
      <c r="N602" s="195"/>
      <c r="O602" s="195"/>
      <c r="P602" s="195"/>
      <c r="Q602" s="54"/>
      <c r="R602" s="196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</row>
    <row r="603" customFormat="false" ht="11.25" hidden="false" customHeight="true" outlineLevel="0" collapsed="false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L603" s="54"/>
      <c r="M603" s="54"/>
      <c r="N603" s="195"/>
      <c r="O603" s="195"/>
      <c r="P603" s="195"/>
      <c r="Q603" s="54"/>
      <c r="R603" s="196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</row>
    <row r="604" customFormat="false" ht="11.25" hidden="false" customHeight="true" outlineLevel="0" collapsed="false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L604" s="54"/>
      <c r="M604" s="54"/>
      <c r="N604" s="195"/>
      <c r="O604" s="195"/>
      <c r="P604" s="195"/>
      <c r="Q604" s="54"/>
      <c r="R604" s="196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</row>
    <row r="605" customFormat="false" ht="11.25" hidden="false" customHeight="true" outlineLevel="0" collapsed="false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L605" s="54"/>
      <c r="M605" s="54"/>
      <c r="N605" s="195"/>
      <c r="O605" s="195"/>
      <c r="P605" s="195"/>
      <c r="Q605" s="54"/>
      <c r="R605" s="196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</row>
    <row r="606" customFormat="false" ht="11.25" hidden="false" customHeight="true" outlineLevel="0" collapsed="false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L606" s="54"/>
      <c r="M606" s="54"/>
      <c r="N606" s="195"/>
      <c r="O606" s="195"/>
      <c r="P606" s="195"/>
      <c r="Q606" s="54"/>
      <c r="R606" s="196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</row>
    <row r="607" customFormat="false" ht="11.25" hidden="false" customHeight="true" outlineLevel="0" collapsed="false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L607" s="54"/>
      <c r="M607" s="54"/>
      <c r="N607" s="195"/>
      <c r="O607" s="195"/>
      <c r="P607" s="195"/>
      <c r="Q607" s="54"/>
      <c r="R607" s="196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</row>
    <row r="608" customFormat="false" ht="11.25" hidden="false" customHeight="true" outlineLevel="0" collapsed="false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L608" s="54"/>
      <c r="M608" s="54"/>
      <c r="N608" s="195"/>
      <c r="O608" s="195"/>
      <c r="P608" s="195"/>
      <c r="Q608" s="54"/>
      <c r="R608" s="196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</row>
    <row r="609" customFormat="false" ht="11.25" hidden="false" customHeight="true" outlineLevel="0" collapsed="false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L609" s="54"/>
      <c r="M609" s="54"/>
      <c r="N609" s="195"/>
      <c r="O609" s="195"/>
      <c r="P609" s="195"/>
      <c r="Q609" s="54"/>
      <c r="R609" s="196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</row>
    <row r="610" customFormat="false" ht="11.25" hidden="false" customHeight="true" outlineLevel="0" collapsed="false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L610" s="54"/>
      <c r="M610" s="54"/>
      <c r="N610" s="195"/>
      <c r="O610" s="195"/>
      <c r="P610" s="195"/>
      <c r="Q610" s="54"/>
      <c r="R610" s="196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</row>
    <row r="611" customFormat="false" ht="11.25" hidden="false" customHeight="true" outlineLevel="0" collapsed="false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L611" s="54"/>
      <c r="M611" s="54"/>
      <c r="N611" s="195"/>
      <c r="O611" s="195"/>
      <c r="P611" s="195"/>
      <c r="Q611" s="54"/>
      <c r="R611" s="196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</row>
    <row r="612" customFormat="false" ht="11.25" hidden="false" customHeight="true" outlineLevel="0" collapsed="false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L612" s="54"/>
      <c r="M612" s="54"/>
      <c r="N612" s="195"/>
      <c r="O612" s="195"/>
      <c r="P612" s="195"/>
      <c r="Q612" s="54"/>
      <c r="R612" s="196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</row>
    <row r="613" customFormat="false" ht="11.25" hidden="false" customHeight="true" outlineLevel="0" collapsed="false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L613" s="54"/>
      <c r="M613" s="54"/>
      <c r="N613" s="195"/>
      <c r="O613" s="195"/>
      <c r="P613" s="195"/>
      <c r="Q613" s="54"/>
      <c r="R613" s="196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</row>
    <row r="614" customFormat="false" ht="11.25" hidden="false" customHeight="true" outlineLevel="0" collapsed="false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L614" s="54"/>
      <c r="M614" s="54"/>
      <c r="N614" s="195"/>
      <c r="O614" s="195"/>
      <c r="P614" s="195"/>
      <c r="Q614" s="54"/>
      <c r="R614" s="196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</row>
    <row r="615" customFormat="false" ht="11.25" hidden="false" customHeight="true" outlineLevel="0" collapsed="false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L615" s="54"/>
      <c r="M615" s="54"/>
      <c r="N615" s="195"/>
      <c r="O615" s="195"/>
      <c r="P615" s="195"/>
      <c r="Q615" s="54"/>
      <c r="R615" s="196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</row>
    <row r="616" customFormat="false" ht="11.25" hidden="false" customHeight="true" outlineLevel="0" collapsed="false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L616" s="54"/>
      <c r="M616" s="54"/>
      <c r="N616" s="195"/>
      <c r="O616" s="195"/>
      <c r="P616" s="195"/>
      <c r="Q616" s="54"/>
      <c r="R616" s="196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</row>
    <row r="617" customFormat="false" ht="11.25" hidden="false" customHeight="true" outlineLevel="0" collapsed="false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L617" s="54"/>
      <c r="M617" s="54"/>
      <c r="N617" s="195"/>
      <c r="O617" s="195"/>
      <c r="P617" s="195"/>
      <c r="Q617" s="54"/>
      <c r="R617" s="196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</row>
    <row r="618" customFormat="false" ht="11.25" hidden="false" customHeight="true" outlineLevel="0" collapsed="false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L618" s="54"/>
      <c r="M618" s="54"/>
      <c r="N618" s="195"/>
      <c r="O618" s="195"/>
      <c r="P618" s="195"/>
      <c r="Q618" s="54"/>
      <c r="R618" s="196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</row>
    <row r="619" customFormat="false" ht="11.25" hidden="false" customHeight="true" outlineLevel="0" collapsed="false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L619" s="54"/>
      <c r="M619" s="54"/>
      <c r="N619" s="195"/>
      <c r="O619" s="195"/>
      <c r="P619" s="195"/>
      <c r="Q619" s="54"/>
      <c r="R619" s="196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</row>
    <row r="620" customFormat="false" ht="11.25" hidden="false" customHeight="true" outlineLevel="0" collapsed="false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L620" s="54"/>
      <c r="M620" s="54"/>
      <c r="N620" s="195"/>
      <c r="O620" s="195"/>
      <c r="P620" s="195"/>
      <c r="Q620" s="54"/>
      <c r="R620" s="196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</row>
    <row r="621" customFormat="false" ht="11.25" hidden="false" customHeight="true" outlineLevel="0" collapsed="false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L621" s="54"/>
      <c r="M621" s="54"/>
      <c r="N621" s="195"/>
      <c r="O621" s="195"/>
      <c r="P621" s="195"/>
      <c r="Q621" s="54"/>
      <c r="R621" s="196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</row>
    <row r="622" customFormat="false" ht="11.25" hidden="false" customHeight="true" outlineLevel="0" collapsed="false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L622" s="54"/>
      <c r="M622" s="54"/>
      <c r="N622" s="195"/>
      <c r="O622" s="195"/>
      <c r="P622" s="195"/>
      <c r="Q622" s="54"/>
      <c r="R622" s="196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</row>
    <row r="623" customFormat="false" ht="11.25" hidden="false" customHeight="true" outlineLevel="0" collapsed="false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L623" s="54"/>
      <c r="M623" s="54"/>
      <c r="N623" s="195"/>
      <c r="O623" s="195"/>
      <c r="P623" s="195"/>
      <c r="Q623" s="54"/>
      <c r="R623" s="196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</row>
    <row r="624" customFormat="false" ht="11.25" hidden="false" customHeight="true" outlineLevel="0" collapsed="false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L624" s="54"/>
      <c r="M624" s="54"/>
      <c r="N624" s="195"/>
      <c r="O624" s="195"/>
      <c r="P624" s="195"/>
      <c r="Q624" s="54"/>
      <c r="R624" s="196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</row>
    <row r="625" customFormat="false" ht="11.25" hidden="false" customHeight="true" outlineLevel="0" collapsed="false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L625" s="54"/>
      <c r="M625" s="54"/>
      <c r="N625" s="195"/>
      <c r="O625" s="195"/>
      <c r="P625" s="195"/>
      <c r="Q625" s="54"/>
      <c r="R625" s="196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</row>
    <row r="626" customFormat="false" ht="11.25" hidden="false" customHeight="true" outlineLevel="0" collapsed="false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L626" s="54"/>
      <c r="M626" s="54"/>
      <c r="N626" s="195"/>
      <c r="O626" s="195"/>
      <c r="P626" s="195"/>
      <c r="Q626" s="54"/>
      <c r="R626" s="196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</row>
    <row r="627" customFormat="false" ht="11.25" hidden="false" customHeight="true" outlineLevel="0" collapsed="false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L627" s="54"/>
      <c r="M627" s="54"/>
      <c r="N627" s="195"/>
      <c r="O627" s="195"/>
      <c r="P627" s="195"/>
      <c r="Q627" s="54"/>
      <c r="R627" s="196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</row>
    <row r="628" customFormat="false" ht="11.25" hidden="false" customHeight="true" outlineLevel="0" collapsed="false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L628" s="54"/>
      <c r="M628" s="54"/>
      <c r="N628" s="195"/>
      <c r="O628" s="195"/>
      <c r="P628" s="195"/>
      <c r="Q628" s="54"/>
      <c r="R628" s="196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</row>
    <row r="629" customFormat="false" ht="11.25" hidden="false" customHeight="true" outlineLevel="0" collapsed="false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L629" s="54"/>
      <c r="M629" s="54"/>
      <c r="N629" s="195"/>
      <c r="O629" s="195"/>
      <c r="P629" s="195"/>
      <c r="Q629" s="54"/>
      <c r="R629" s="196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</row>
    <row r="630" customFormat="false" ht="11.25" hidden="false" customHeight="true" outlineLevel="0" collapsed="false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L630" s="54"/>
      <c r="M630" s="54"/>
      <c r="N630" s="195"/>
      <c r="O630" s="195"/>
      <c r="P630" s="195"/>
      <c r="Q630" s="54"/>
      <c r="R630" s="196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</row>
    <row r="631" customFormat="false" ht="11.25" hidden="false" customHeight="true" outlineLevel="0" collapsed="false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L631" s="54"/>
      <c r="M631" s="54"/>
      <c r="N631" s="195"/>
      <c r="O631" s="195"/>
      <c r="P631" s="195"/>
      <c r="Q631" s="54"/>
      <c r="R631" s="196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</row>
    <row r="632" customFormat="false" ht="11.25" hidden="false" customHeight="true" outlineLevel="0" collapsed="false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L632" s="54"/>
      <c r="M632" s="54"/>
      <c r="N632" s="195"/>
      <c r="O632" s="195"/>
      <c r="P632" s="195"/>
      <c r="Q632" s="54"/>
      <c r="R632" s="196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</row>
    <row r="633" customFormat="false" ht="11.25" hidden="false" customHeight="true" outlineLevel="0" collapsed="false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L633" s="54"/>
      <c r="M633" s="54"/>
      <c r="N633" s="195"/>
      <c r="O633" s="195"/>
      <c r="P633" s="195"/>
      <c r="Q633" s="54"/>
      <c r="R633" s="196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</row>
    <row r="634" customFormat="false" ht="11.25" hidden="false" customHeight="true" outlineLevel="0" collapsed="false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L634" s="54"/>
      <c r="M634" s="54"/>
      <c r="N634" s="195"/>
      <c r="O634" s="195"/>
      <c r="P634" s="195"/>
      <c r="Q634" s="54"/>
      <c r="R634" s="196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</row>
    <row r="635" customFormat="false" ht="11.25" hidden="false" customHeight="true" outlineLevel="0" collapsed="false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L635" s="54"/>
      <c r="M635" s="54"/>
      <c r="N635" s="195"/>
      <c r="O635" s="195"/>
      <c r="P635" s="195"/>
      <c r="Q635" s="54"/>
      <c r="R635" s="196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</row>
    <row r="636" customFormat="false" ht="11.25" hidden="false" customHeight="true" outlineLevel="0" collapsed="false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L636" s="54"/>
      <c r="M636" s="54"/>
      <c r="N636" s="195"/>
      <c r="O636" s="195"/>
      <c r="P636" s="195"/>
      <c r="Q636" s="54"/>
      <c r="R636" s="196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</row>
    <row r="637" customFormat="false" ht="11.25" hidden="false" customHeight="true" outlineLevel="0" collapsed="false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L637" s="54"/>
      <c r="M637" s="54"/>
      <c r="N637" s="195"/>
      <c r="O637" s="195"/>
      <c r="P637" s="195"/>
      <c r="Q637" s="54"/>
      <c r="R637" s="196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</row>
    <row r="638" customFormat="false" ht="11.25" hidden="false" customHeight="true" outlineLevel="0" collapsed="false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L638" s="54"/>
      <c r="M638" s="54"/>
      <c r="N638" s="195"/>
      <c r="O638" s="195"/>
      <c r="P638" s="195"/>
      <c r="Q638" s="54"/>
      <c r="R638" s="196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</row>
    <row r="639" customFormat="false" ht="11.25" hidden="false" customHeight="true" outlineLevel="0" collapsed="false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L639" s="54"/>
      <c r="M639" s="54"/>
      <c r="N639" s="195"/>
      <c r="O639" s="195"/>
      <c r="P639" s="195"/>
      <c r="Q639" s="54"/>
      <c r="R639" s="196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</row>
    <row r="640" customFormat="false" ht="11.25" hidden="false" customHeight="true" outlineLevel="0" collapsed="false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L640" s="54"/>
      <c r="M640" s="54"/>
      <c r="N640" s="195"/>
      <c r="O640" s="195"/>
      <c r="P640" s="195"/>
      <c r="Q640" s="54"/>
      <c r="R640" s="196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</row>
    <row r="641" customFormat="false" ht="11.25" hidden="false" customHeight="true" outlineLevel="0" collapsed="false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L641" s="54"/>
      <c r="M641" s="54"/>
      <c r="N641" s="195"/>
      <c r="O641" s="195"/>
      <c r="P641" s="195"/>
      <c r="Q641" s="54"/>
      <c r="R641" s="196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</row>
    <row r="642" customFormat="false" ht="11.25" hidden="false" customHeight="true" outlineLevel="0" collapsed="false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L642" s="54"/>
      <c r="M642" s="54"/>
      <c r="N642" s="195"/>
      <c r="O642" s="195"/>
      <c r="P642" s="195"/>
      <c r="Q642" s="54"/>
      <c r="R642" s="196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</row>
    <row r="643" customFormat="false" ht="11.25" hidden="false" customHeight="true" outlineLevel="0" collapsed="false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L643" s="54"/>
      <c r="M643" s="54"/>
      <c r="N643" s="195"/>
      <c r="O643" s="195"/>
      <c r="P643" s="195"/>
      <c r="Q643" s="54"/>
      <c r="R643" s="196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</row>
    <row r="644" customFormat="false" ht="11.25" hidden="false" customHeight="true" outlineLevel="0" collapsed="false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L644" s="54"/>
      <c r="M644" s="54"/>
      <c r="N644" s="195"/>
      <c r="O644" s="195"/>
      <c r="P644" s="195"/>
      <c r="Q644" s="54"/>
      <c r="R644" s="196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</row>
    <row r="645" customFormat="false" ht="11.25" hidden="false" customHeight="true" outlineLevel="0" collapsed="false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L645" s="54"/>
      <c r="M645" s="54"/>
      <c r="N645" s="195"/>
      <c r="O645" s="195"/>
      <c r="P645" s="195"/>
      <c r="Q645" s="54"/>
      <c r="R645" s="196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</row>
    <row r="646" customFormat="false" ht="11.25" hidden="false" customHeight="true" outlineLevel="0" collapsed="false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L646" s="54"/>
      <c r="M646" s="54"/>
      <c r="N646" s="195"/>
      <c r="O646" s="195"/>
      <c r="P646" s="195"/>
      <c r="Q646" s="54"/>
      <c r="R646" s="196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</row>
    <row r="647" customFormat="false" ht="11.25" hidden="false" customHeight="true" outlineLevel="0" collapsed="false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L647" s="54"/>
      <c r="M647" s="54"/>
      <c r="N647" s="195"/>
      <c r="O647" s="195"/>
      <c r="P647" s="195"/>
      <c r="Q647" s="54"/>
      <c r="R647" s="196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</row>
    <row r="648" customFormat="false" ht="11.25" hidden="false" customHeight="true" outlineLevel="0" collapsed="false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L648" s="54"/>
      <c r="M648" s="54"/>
      <c r="N648" s="195"/>
      <c r="O648" s="195"/>
      <c r="P648" s="195"/>
      <c r="Q648" s="54"/>
      <c r="R648" s="196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</row>
    <row r="649" customFormat="false" ht="11.25" hidden="false" customHeight="true" outlineLevel="0" collapsed="false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L649" s="54"/>
      <c r="M649" s="54"/>
      <c r="N649" s="195"/>
      <c r="O649" s="195"/>
      <c r="P649" s="195"/>
      <c r="Q649" s="54"/>
      <c r="R649" s="196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</row>
    <row r="650" customFormat="false" ht="11.25" hidden="false" customHeight="true" outlineLevel="0" collapsed="false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L650" s="54"/>
      <c r="M650" s="54"/>
      <c r="N650" s="195"/>
      <c r="O650" s="195"/>
      <c r="P650" s="195"/>
      <c r="Q650" s="54"/>
      <c r="R650" s="196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  <c r="DK650" s="54"/>
    </row>
    <row r="651" customFormat="false" ht="11.25" hidden="false" customHeight="true" outlineLevel="0" collapsed="false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L651" s="54"/>
      <c r="M651" s="54"/>
      <c r="N651" s="195"/>
      <c r="O651" s="195"/>
      <c r="P651" s="195"/>
      <c r="Q651" s="54"/>
      <c r="R651" s="196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  <c r="DK651" s="54"/>
    </row>
    <row r="652" customFormat="false" ht="11.25" hidden="false" customHeight="true" outlineLevel="0" collapsed="false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L652" s="54"/>
      <c r="M652" s="54"/>
      <c r="N652" s="195"/>
      <c r="O652" s="195"/>
      <c r="P652" s="195"/>
      <c r="Q652" s="54"/>
      <c r="R652" s="196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  <c r="DK652" s="54"/>
    </row>
    <row r="653" customFormat="false" ht="11.25" hidden="false" customHeight="true" outlineLevel="0" collapsed="false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L653" s="54"/>
      <c r="M653" s="54"/>
      <c r="N653" s="195"/>
      <c r="O653" s="195"/>
      <c r="P653" s="195"/>
      <c r="Q653" s="54"/>
      <c r="R653" s="196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  <c r="DK653" s="54"/>
    </row>
    <row r="654" customFormat="false" ht="11.25" hidden="false" customHeight="true" outlineLevel="0" collapsed="false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L654" s="54"/>
      <c r="M654" s="54"/>
      <c r="N654" s="195"/>
      <c r="O654" s="195"/>
      <c r="P654" s="195"/>
      <c r="Q654" s="54"/>
      <c r="R654" s="196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</row>
    <row r="655" customFormat="false" ht="11.25" hidden="false" customHeight="true" outlineLevel="0" collapsed="false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L655" s="54"/>
      <c r="M655" s="54"/>
      <c r="N655" s="195"/>
      <c r="O655" s="195"/>
      <c r="P655" s="195"/>
      <c r="Q655" s="54"/>
      <c r="R655" s="196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</row>
    <row r="656" customFormat="false" ht="11.25" hidden="false" customHeight="true" outlineLevel="0" collapsed="false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L656" s="54"/>
      <c r="M656" s="54"/>
      <c r="N656" s="195"/>
      <c r="O656" s="195"/>
      <c r="P656" s="195"/>
      <c r="Q656" s="54"/>
      <c r="R656" s="196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</row>
    <row r="657" customFormat="false" ht="11.25" hidden="false" customHeight="true" outlineLevel="0" collapsed="false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L657" s="54"/>
      <c r="M657" s="54"/>
      <c r="N657" s="195"/>
      <c r="O657" s="195"/>
      <c r="P657" s="195"/>
      <c r="Q657" s="54"/>
      <c r="R657" s="196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  <c r="DK657" s="54"/>
    </row>
    <row r="658" customFormat="false" ht="11.25" hidden="false" customHeight="true" outlineLevel="0" collapsed="false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L658" s="54"/>
      <c r="M658" s="54"/>
      <c r="N658" s="195"/>
      <c r="O658" s="195"/>
      <c r="P658" s="195"/>
      <c r="Q658" s="54"/>
      <c r="R658" s="196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  <c r="DK658" s="54"/>
    </row>
    <row r="659" customFormat="false" ht="11.25" hidden="false" customHeight="true" outlineLevel="0" collapsed="false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L659" s="54"/>
      <c r="M659" s="54"/>
      <c r="N659" s="195"/>
      <c r="O659" s="195"/>
      <c r="P659" s="195"/>
      <c r="Q659" s="54"/>
      <c r="R659" s="196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  <c r="DK659" s="54"/>
    </row>
    <row r="660" customFormat="false" ht="11.25" hidden="false" customHeight="true" outlineLevel="0" collapsed="false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L660" s="54"/>
      <c r="M660" s="54"/>
      <c r="N660" s="195"/>
      <c r="O660" s="195"/>
      <c r="P660" s="195"/>
      <c r="Q660" s="54"/>
      <c r="R660" s="196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  <c r="DK660" s="54"/>
    </row>
    <row r="661" customFormat="false" ht="11.25" hidden="false" customHeight="true" outlineLevel="0" collapsed="false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L661" s="54"/>
      <c r="M661" s="54"/>
      <c r="N661" s="195"/>
      <c r="O661" s="195"/>
      <c r="P661" s="195"/>
      <c r="Q661" s="54"/>
      <c r="R661" s="196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  <c r="DK661" s="54"/>
    </row>
    <row r="662" customFormat="false" ht="11.25" hidden="false" customHeight="true" outlineLevel="0" collapsed="false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L662" s="54"/>
      <c r="M662" s="54"/>
      <c r="N662" s="195"/>
      <c r="O662" s="195"/>
      <c r="P662" s="195"/>
      <c r="Q662" s="54"/>
      <c r="R662" s="196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  <c r="DK662" s="54"/>
    </row>
    <row r="663" customFormat="false" ht="11.25" hidden="false" customHeight="true" outlineLevel="0" collapsed="false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L663" s="54"/>
      <c r="M663" s="54"/>
      <c r="N663" s="195"/>
      <c r="O663" s="195"/>
      <c r="P663" s="195"/>
      <c r="Q663" s="54"/>
      <c r="R663" s="196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</row>
    <row r="664" customFormat="false" ht="11.25" hidden="false" customHeight="true" outlineLevel="0" collapsed="false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L664" s="54"/>
      <c r="M664" s="54"/>
      <c r="N664" s="195"/>
      <c r="O664" s="195"/>
      <c r="P664" s="195"/>
      <c r="Q664" s="54"/>
      <c r="R664" s="196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</row>
    <row r="665" customFormat="false" ht="11.25" hidden="false" customHeight="true" outlineLevel="0" collapsed="false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L665" s="54"/>
      <c r="M665" s="54"/>
      <c r="N665" s="195"/>
      <c r="O665" s="195"/>
      <c r="P665" s="195"/>
      <c r="Q665" s="54"/>
      <c r="R665" s="196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  <c r="DK665" s="54"/>
    </row>
    <row r="666" customFormat="false" ht="11.25" hidden="false" customHeight="true" outlineLevel="0" collapsed="false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L666" s="54"/>
      <c r="M666" s="54"/>
      <c r="N666" s="195"/>
      <c r="O666" s="195"/>
      <c r="P666" s="195"/>
      <c r="Q666" s="54"/>
      <c r="R666" s="196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  <c r="DK666" s="54"/>
    </row>
    <row r="667" customFormat="false" ht="11.25" hidden="false" customHeight="true" outlineLevel="0" collapsed="false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L667" s="54"/>
      <c r="M667" s="54"/>
      <c r="N667" s="195"/>
      <c r="O667" s="195"/>
      <c r="P667" s="195"/>
      <c r="Q667" s="54"/>
      <c r="R667" s="196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  <c r="DK667" s="54"/>
    </row>
    <row r="668" customFormat="false" ht="11.25" hidden="false" customHeight="true" outlineLevel="0" collapsed="false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L668" s="54"/>
      <c r="M668" s="54"/>
      <c r="N668" s="195"/>
      <c r="O668" s="195"/>
      <c r="P668" s="195"/>
      <c r="Q668" s="54"/>
      <c r="R668" s="196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  <c r="DK668" s="54"/>
    </row>
    <row r="669" customFormat="false" ht="11.25" hidden="false" customHeight="true" outlineLevel="0" collapsed="false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L669" s="54"/>
      <c r="M669" s="54"/>
      <c r="N669" s="195"/>
      <c r="O669" s="195"/>
      <c r="P669" s="195"/>
      <c r="Q669" s="54"/>
      <c r="R669" s="196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  <c r="DK669" s="54"/>
    </row>
    <row r="670" customFormat="false" ht="11.25" hidden="false" customHeight="true" outlineLevel="0" collapsed="false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L670" s="54"/>
      <c r="M670" s="54"/>
      <c r="N670" s="195"/>
      <c r="O670" s="195"/>
      <c r="P670" s="195"/>
      <c r="Q670" s="54"/>
      <c r="R670" s="196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  <c r="DK670" s="54"/>
    </row>
    <row r="671" customFormat="false" ht="11.25" hidden="false" customHeight="true" outlineLevel="0" collapsed="false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L671" s="54"/>
      <c r="M671" s="54"/>
      <c r="N671" s="195"/>
      <c r="O671" s="195"/>
      <c r="P671" s="195"/>
      <c r="Q671" s="54"/>
      <c r="R671" s="196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  <c r="DK671" s="54"/>
    </row>
    <row r="672" customFormat="false" ht="11.25" hidden="false" customHeight="true" outlineLevel="0" collapsed="false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L672" s="54"/>
      <c r="M672" s="54"/>
      <c r="N672" s="195"/>
      <c r="O672" s="195"/>
      <c r="P672" s="195"/>
      <c r="Q672" s="54"/>
      <c r="R672" s="196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  <c r="DK672" s="54"/>
    </row>
    <row r="673" customFormat="false" ht="11.25" hidden="false" customHeight="true" outlineLevel="0" collapsed="false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L673" s="54"/>
      <c r="M673" s="54"/>
      <c r="N673" s="195"/>
      <c r="O673" s="195"/>
      <c r="P673" s="195"/>
      <c r="Q673" s="54"/>
      <c r="R673" s="196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  <c r="DK673" s="54"/>
    </row>
    <row r="674" customFormat="false" ht="11.25" hidden="false" customHeight="true" outlineLevel="0" collapsed="false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L674" s="54"/>
      <c r="M674" s="54"/>
      <c r="N674" s="195"/>
      <c r="O674" s="195"/>
      <c r="P674" s="195"/>
      <c r="Q674" s="54"/>
      <c r="R674" s="196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  <c r="DK674" s="54"/>
    </row>
    <row r="675" customFormat="false" ht="11.25" hidden="false" customHeight="true" outlineLevel="0" collapsed="false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L675" s="54"/>
      <c r="M675" s="54"/>
      <c r="N675" s="195"/>
      <c r="O675" s="195"/>
      <c r="P675" s="195"/>
      <c r="Q675" s="54"/>
      <c r="R675" s="196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  <c r="DK675" s="54"/>
    </row>
    <row r="676" customFormat="false" ht="11.25" hidden="false" customHeight="true" outlineLevel="0" collapsed="false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L676" s="54"/>
      <c r="M676" s="54"/>
      <c r="N676" s="195"/>
      <c r="O676" s="195"/>
      <c r="P676" s="195"/>
      <c r="Q676" s="54"/>
      <c r="R676" s="196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  <c r="DK676" s="54"/>
    </row>
    <row r="677" customFormat="false" ht="11.25" hidden="false" customHeight="true" outlineLevel="0" collapsed="false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L677" s="54"/>
      <c r="M677" s="54"/>
      <c r="N677" s="195"/>
      <c r="O677" s="195"/>
      <c r="P677" s="195"/>
      <c r="Q677" s="54"/>
      <c r="R677" s="196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  <c r="DK677" s="54"/>
    </row>
    <row r="678" customFormat="false" ht="11.25" hidden="false" customHeight="true" outlineLevel="0" collapsed="false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L678" s="54"/>
      <c r="M678" s="54"/>
      <c r="N678" s="195"/>
      <c r="O678" s="195"/>
      <c r="P678" s="195"/>
      <c r="Q678" s="54"/>
      <c r="R678" s="196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  <c r="DK678" s="54"/>
    </row>
    <row r="679" customFormat="false" ht="11.25" hidden="false" customHeight="true" outlineLevel="0" collapsed="false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L679" s="54"/>
      <c r="M679" s="54"/>
      <c r="N679" s="195"/>
      <c r="O679" s="195"/>
      <c r="P679" s="195"/>
      <c r="Q679" s="54"/>
      <c r="R679" s="196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  <c r="DK679" s="54"/>
    </row>
    <row r="680" customFormat="false" ht="11.25" hidden="false" customHeight="true" outlineLevel="0" collapsed="false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L680" s="54"/>
      <c r="M680" s="54"/>
      <c r="N680" s="195"/>
      <c r="O680" s="195"/>
      <c r="P680" s="195"/>
      <c r="Q680" s="54"/>
      <c r="R680" s="196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  <c r="DK680" s="54"/>
    </row>
    <row r="681" customFormat="false" ht="11.25" hidden="false" customHeight="true" outlineLevel="0" collapsed="false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L681" s="54"/>
      <c r="M681" s="54"/>
      <c r="N681" s="195"/>
      <c r="O681" s="195"/>
      <c r="P681" s="195"/>
      <c r="Q681" s="54"/>
      <c r="R681" s="196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  <c r="DK681" s="54"/>
    </row>
    <row r="682" customFormat="false" ht="11.25" hidden="false" customHeight="true" outlineLevel="0" collapsed="false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L682" s="54"/>
      <c r="M682" s="54"/>
      <c r="N682" s="195"/>
      <c r="O682" s="195"/>
      <c r="P682" s="195"/>
      <c r="Q682" s="54"/>
      <c r="R682" s="196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  <c r="DK682" s="54"/>
    </row>
    <row r="683" customFormat="false" ht="11.25" hidden="false" customHeight="true" outlineLevel="0" collapsed="false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L683" s="54"/>
      <c r="M683" s="54"/>
      <c r="N683" s="195"/>
      <c r="O683" s="195"/>
      <c r="P683" s="195"/>
      <c r="Q683" s="54"/>
      <c r="R683" s="196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  <c r="DK683" s="54"/>
    </row>
    <row r="684" customFormat="false" ht="11.25" hidden="false" customHeight="true" outlineLevel="0" collapsed="false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L684" s="54"/>
      <c r="M684" s="54"/>
      <c r="N684" s="195"/>
      <c r="O684" s="195"/>
      <c r="P684" s="195"/>
      <c r="Q684" s="54"/>
      <c r="R684" s="196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  <c r="DK684" s="54"/>
    </row>
    <row r="685" customFormat="false" ht="11.25" hidden="false" customHeight="true" outlineLevel="0" collapsed="false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L685" s="54"/>
      <c r="M685" s="54"/>
      <c r="N685" s="195"/>
      <c r="O685" s="195"/>
      <c r="P685" s="195"/>
      <c r="Q685" s="54"/>
      <c r="R685" s="196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  <c r="DK685" s="54"/>
    </row>
    <row r="686" customFormat="false" ht="11.25" hidden="false" customHeight="true" outlineLevel="0" collapsed="false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L686" s="54"/>
      <c r="M686" s="54"/>
      <c r="N686" s="195"/>
      <c r="O686" s="195"/>
      <c r="P686" s="195"/>
      <c r="Q686" s="54"/>
      <c r="R686" s="196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  <c r="DK686" s="54"/>
    </row>
    <row r="687" customFormat="false" ht="11.25" hidden="false" customHeight="true" outlineLevel="0" collapsed="false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L687" s="54"/>
      <c r="M687" s="54"/>
      <c r="N687" s="195"/>
      <c r="O687" s="195"/>
      <c r="P687" s="195"/>
      <c r="Q687" s="54"/>
      <c r="R687" s="196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  <c r="DK687" s="54"/>
    </row>
    <row r="688" customFormat="false" ht="11.25" hidden="false" customHeight="true" outlineLevel="0" collapsed="false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L688" s="54"/>
      <c r="M688" s="54"/>
      <c r="N688" s="195"/>
      <c r="O688" s="195"/>
      <c r="P688" s="195"/>
      <c r="Q688" s="54"/>
      <c r="R688" s="196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  <c r="DK688" s="54"/>
    </row>
    <row r="689" customFormat="false" ht="11.25" hidden="false" customHeight="true" outlineLevel="0" collapsed="false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L689" s="54"/>
      <c r="M689" s="54"/>
      <c r="N689" s="195"/>
      <c r="O689" s="195"/>
      <c r="P689" s="195"/>
      <c r="Q689" s="54"/>
      <c r="R689" s="196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  <c r="DK689" s="54"/>
    </row>
    <row r="690" customFormat="false" ht="11.25" hidden="false" customHeight="true" outlineLevel="0" collapsed="false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L690" s="54"/>
      <c r="M690" s="54"/>
      <c r="N690" s="195"/>
      <c r="O690" s="195"/>
      <c r="P690" s="195"/>
      <c r="Q690" s="54"/>
      <c r="R690" s="196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  <c r="DK690" s="54"/>
    </row>
    <row r="691" customFormat="false" ht="11.25" hidden="false" customHeight="true" outlineLevel="0" collapsed="false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L691" s="54"/>
      <c r="M691" s="54"/>
      <c r="N691" s="195"/>
      <c r="O691" s="195"/>
      <c r="P691" s="195"/>
      <c r="Q691" s="54"/>
      <c r="R691" s="196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  <c r="DK691" s="54"/>
    </row>
    <row r="692" customFormat="false" ht="11.25" hidden="false" customHeight="true" outlineLevel="0" collapsed="false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L692" s="54"/>
      <c r="M692" s="54"/>
      <c r="N692" s="195"/>
      <c r="O692" s="195"/>
      <c r="P692" s="195"/>
      <c r="Q692" s="54"/>
      <c r="R692" s="196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</row>
    <row r="693" customFormat="false" ht="11.25" hidden="false" customHeight="true" outlineLevel="0" collapsed="false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L693" s="54"/>
      <c r="M693" s="54"/>
      <c r="N693" s="195"/>
      <c r="O693" s="195"/>
      <c r="P693" s="195"/>
      <c r="Q693" s="54"/>
      <c r="R693" s="196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  <c r="DK693" s="54"/>
    </row>
    <row r="694" customFormat="false" ht="11.25" hidden="false" customHeight="true" outlineLevel="0" collapsed="false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L694" s="54"/>
      <c r="M694" s="54"/>
      <c r="N694" s="195"/>
      <c r="O694" s="195"/>
      <c r="P694" s="195"/>
      <c r="Q694" s="54"/>
      <c r="R694" s="196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  <c r="DK694" s="54"/>
    </row>
    <row r="695" customFormat="false" ht="11.25" hidden="false" customHeight="true" outlineLevel="0" collapsed="false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L695" s="54"/>
      <c r="M695" s="54"/>
      <c r="N695" s="195"/>
      <c r="O695" s="195"/>
      <c r="P695" s="195"/>
      <c r="Q695" s="54"/>
      <c r="R695" s="196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  <c r="DK695" s="54"/>
    </row>
    <row r="696" customFormat="false" ht="11.25" hidden="false" customHeight="true" outlineLevel="0" collapsed="false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L696" s="54"/>
      <c r="M696" s="54"/>
      <c r="N696" s="195"/>
      <c r="O696" s="195"/>
      <c r="P696" s="195"/>
      <c r="Q696" s="54"/>
      <c r="R696" s="196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  <c r="DK696" s="54"/>
    </row>
    <row r="697" customFormat="false" ht="11.25" hidden="false" customHeight="true" outlineLevel="0" collapsed="false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L697" s="54"/>
      <c r="M697" s="54"/>
      <c r="N697" s="195"/>
      <c r="O697" s="195"/>
      <c r="P697" s="195"/>
      <c r="Q697" s="54"/>
      <c r="R697" s="196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  <c r="DK697" s="54"/>
    </row>
    <row r="698" customFormat="false" ht="11.25" hidden="false" customHeight="true" outlineLevel="0" collapsed="false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L698" s="54"/>
      <c r="M698" s="54"/>
      <c r="N698" s="195"/>
      <c r="O698" s="195"/>
      <c r="P698" s="195"/>
      <c r="Q698" s="54"/>
      <c r="R698" s="196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  <c r="DK698" s="54"/>
    </row>
    <row r="699" customFormat="false" ht="11.25" hidden="false" customHeight="true" outlineLevel="0" collapsed="false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L699" s="54"/>
      <c r="M699" s="54"/>
      <c r="N699" s="195"/>
      <c r="O699" s="195"/>
      <c r="P699" s="195"/>
      <c r="Q699" s="54"/>
      <c r="R699" s="196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  <c r="DK699" s="54"/>
    </row>
    <row r="700" customFormat="false" ht="11.25" hidden="false" customHeight="true" outlineLevel="0" collapsed="false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L700" s="54"/>
      <c r="M700" s="54"/>
      <c r="N700" s="195"/>
      <c r="O700" s="195"/>
      <c r="P700" s="195"/>
      <c r="Q700" s="54"/>
      <c r="R700" s="196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  <c r="DK700" s="54"/>
    </row>
    <row r="701" customFormat="false" ht="11.25" hidden="false" customHeight="true" outlineLevel="0" collapsed="false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L701" s="54"/>
      <c r="M701" s="54"/>
      <c r="N701" s="195"/>
      <c r="O701" s="195"/>
      <c r="P701" s="195"/>
      <c r="Q701" s="54"/>
      <c r="R701" s="196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  <c r="DK701" s="54"/>
    </row>
    <row r="702" customFormat="false" ht="11.25" hidden="false" customHeight="true" outlineLevel="0" collapsed="false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L702" s="54"/>
      <c r="M702" s="54"/>
      <c r="N702" s="195"/>
      <c r="O702" s="195"/>
      <c r="P702" s="195"/>
      <c r="Q702" s="54"/>
      <c r="R702" s="196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  <c r="DK702" s="54"/>
    </row>
    <row r="703" customFormat="false" ht="11.25" hidden="false" customHeight="true" outlineLevel="0" collapsed="false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L703" s="54"/>
      <c r="M703" s="54"/>
      <c r="N703" s="195"/>
      <c r="O703" s="195"/>
      <c r="P703" s="195"/>
      <c r="Q703" s="54"/>
      <c r="R703" s="196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  <c r="DK703" s="54"/>
    </row>
    <row r="704" customFormat="false" ht="11.25" hidden="false" customHeight="true" outlineLevel="0" collapsed="false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L704" s="54"/>
      <c r="M704" s="54"/>
      <c r="N704" s="195"/>
      <c r="O704" s="195"/>
      <c r="P704" s="195"/>
      <c r="Q704" s="54"/>
      <c r="R704" s="196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  <c r="DK704" s="54"/>
    </row>
    <row r="705" customFormat="false" ht="11.25" hidden="false" customHeight="true" outlineLevel="0" collapsed="false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L705" s="54"/>
      <c r="M705" s="54"/>
      <c r="N705" s="195"/>
      <c r="O705" s="195"/>
      <c r="P705" s="195"/>
      <c r="Q705" s="54"/>
      <c r="R705" s="196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  <c r="DK705" s="54"/>
    </row>
    <row r="706" customFormat="false" ht="11.25" hidden="false" customHeight="true" outlineLevel="0" collapsed="false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L706" s="54"/>
      <c r="M706" s="54"/>
      <c r="N706" s="195"/>
      <c r="O706" s="195"/>
      <c r="P706" s="195"/>
      <c r="Q706" s="54"/>
      <c r="R706" s="196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  <c r="DK706" s="54"/>
    </row>
    <row r="707" customFormat="false" ht="11.25" hidden="false" customHeight="true" outlineLevel="0" collapsed="false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L707" s="54"/>
      <c r="M707" s="54"/>
      <c r="N707" s="195"/>
      <c r="O707" s="195"/>
      <c r="P707" s="195"/>
      <c r="Q707" s="54"/>
      <c r="R707" s="196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  <c r="DK707" s="54"/>
    </row>
    <row r="708" customFormat="false" ht="11.25" hidden="false" customHeight="true" outlineLevel="0" collapsed="false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L708" s="54"/>
      <c r="M708" s="54"/>
      <c r="N708" s="195"/>
      <c r="O708" s="195"/>
      <c r="P708" s="195"/>
      <c r="Q708" s="54"/>
      <c r="R708" s="196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  <c r="DK708" s="54"/>
    </row>
    <row r="709" customFormat="false" ht="11.25" hidden="false" customHeight="true" outlineLevel="0" collapsed="false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L709" s="54"/>
      <c r="M709" s="54"/>
      <c r="N709" s="195"/>
      <c r="O709" s="195"/>
      <c r="P709" s="195"/>
      <c r="Q709" s="54"/>
      <c r="R709" s="196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  <c r="DK709" s="54"/>
    </row>
    <row r="710" customFormat="false" ht="11.25" hidden="false" customHeight="true" outlineLevel="0" collapsed="false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L710" s="54"/>
      <c r="M710" s="54"/>
      <c r="N710" s="195"/>
      <c r="O710" s="195"/>
      <c r="P710" s="195"/>
      <c r="Q710" s="54"/>
      <c r="R710" s="196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  <c r="DK710" s="54"/>
    </row>
    <row r="711" customFormat="false" ht="11.25" hidden="false" customHeight="true" outlineLevel="0" collapsed="false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L711" s="54"/>
      <c r="M711" s="54"/>
      <c r="N711" s="195"/>
      <c r="O711" s="195"/>
      <c r="P711" s="195"/>
      <c r="Q711" s="54"/>
      <c r="R711" s="196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  <c r="DK711" s="54"/>
    </row>
    <row r="712" customFormat="false" ht="11.25" hidden="false" customHeight="true" outlineLevel="0" collapsed="false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L712" s="54"/>
      <c r="M712" s="54"/>
      <c r="N712" s="195"/>
      <c r="O712" s="195"/>
      <c r="P712" s="195"/>
      <c r="Q712" s="54"/>
      <c r="R712" s="196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  <c r="DK712" s="54"/>
    </row>
    <row r="713" customFormat="false" ht="11.25" hidden="false" customHeight="true" outlineLevel="0" collapsed="false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L713" s="54"/>
      <c r="M713" s="54"/>
      <c r="N713" s="195"/>
      <c r="O713" s="195"/>
      <c r="P713" s="195"/>
      <c r="Q713" s="54"/>
      <c r="R713" s="196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  <c r="DK713" s="54"/>
    </row>
    <row r="714" customFormat="false" ht="11.25" hidden="false" customHeight="true" outlineLevel="0" collapsed="false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L714" s="54"/>
      <c r="M714" s="54"/>
      <c r="N714" s="195"/>
      <c r="O714" s="195"/>
      <c r="P714" s="195"/>
      <c r="Q714" s="54"/>
      <c r="R714" s="196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</row>
    <row r="715" customFormat="false" ht="11.25" hidden="false" customHeight="true" outlineLevel="0" collapsed="false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L715" s="54"/>
      <c r="M715" s="54"/>
      <c r="N715" s="195"/>
      <c r="O715" s="195"/>
      <c r="P715" s="195"/>
      <c r="Q715" s="54"/>
      <c r="R715" s="196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  <c r="DK715" s="54"/>
    </row>
    <row r="716" customFormat="false" ht="11.25" hidden="false" customHeight="true" outlineLevel="0" collapsed="false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L716" s="54"/>
      <c r="M716" s="54"/>
      <c r="N716" s="195"/>
      <c r="O716" s="195"/>
      <c r="P716" s="195"/>
      <c r="Q716" s="54"/>
      <c r="R716" s="196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  <c r="DK716" s="54"/>
    </row>
    <row r="717" customFormat="false" ht="11.25" hidden="false" customHeight="true" outlineLevel="0" collapsed="false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L717" s="54"/>
      <c r="M717" s="54"/>
      <c r="N717" s="195"/>
      <c r="O717" s="195"/>
      <c r="P717" s="195"/>
      <c r="Q717" s="54"/>
      <c r="R717" s="196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  <c r="DK717" s="54"/>
    </row>
    <row r="718" customFormat="false" ht="11.25" hidden="false" customHeight="true" outlineLevel="0" collapsed="false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L718" s="54"/>
      <c r="M718" s="54"/>
      <c r="N718" s="195"/>
      <c r="O718" s="195"/>
      <c r="P718" s="195"/>
      <c r="Q718" s="54"/>
      <c r="R718" s="196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  <c r="DK718" s="54"/>
    </row>
    <row r="719" customFormat="false" ht="11.25" hidden="false" customHeight="true" outlineLevel="0" collapsed="false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L719" s="54"/>
      <c r="M719" s="54"/>
      <c r="N719" s="195"/>
      <c r="O719" s="195"/>
      <c r="P719" s="195"/>
      <c r="Q719" s="54"/>
      <c r="R719" s="196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  <c r="DK719" s="54"/>
    </row>
    <row r="720" customFormat="false" ht="11.25" hidden="false" customHeight="true" outlineLevel="0" collapsed="false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L720" s="54"/>
      <c r="M720" s="54"/>
      <c r="N720" s="195"/>
      <c r="O720" s="195"/>
      <c r="P720" s="195"/>
      <c r="Q720" s="54"/>
      <c r="R720" s="196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  <c r="DK720" s="54"/>
    </row>
    <row r="721" customFormat="false" ht="11.25" hidden="false" customHeight="true" outlineLevel="0" collapsed="false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L721" s="54"/>
      <c r="M721" s="54"/>
      <c r="N721" s="195"/>
      <c r="O721" s="195"/>
      <c r="P721" s="195"/>
      <c r="Q721" s="54"/>
      <c r="R721" s="196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  <c r="DK721" s="54"/>
    </row>
    <row r="722" customFormat="false" ht="11.25" hidden="false" customHeight="true" outlineLevel="0" collapsed="false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L722" s="54"/>
      <c r="M722" s="54"/>
      <c r="N722" s="195"/>
      <c r="O722" s="195"/>
      <c r="P722" s="195"/>
      <c r="Q722" s="54"/>
      <c r="R722" s="196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  <c r="DK722" s="54"/>
    </row>
    <row r="723" customFormat="false" ht="11.25" hidden="false" customHeight="true" outlineLevel="0" collapsed="false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L723" s="54"/>
      <c r="M723" s="54"/>
      <c r="N723" s="195"/>
      <c r="O723" s="195"/>
      <c r="P723" s="195"/>
      <c r="Q723" s="54"/>
      <c r="R723" s="196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  <c r="DK723" s="54"/>
    </row>
    <row r="724" customFormat="false" ht="11.25" hidden="false" customHeight="true" outlineLevel="0" collapsed="false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L724" s="54"/>
      <c r="M724" s="54"/>
      <c r="N724" s="195"/>
      <c r="O724" s="195"/>
      <c r="P724" s="195"/>
      <c r="Q724" s="54"/>
      <c r="R724" s="196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  <c r="DK724" s="54"/>
    </row>
    <row r="725" customFormat="false" ht="11.25" hidden="false" customHeight="true" outlineLevel="0" collapsed="false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L725" s="54"/>
      <c r="M725" s="54"/>
      <c r="N725" s="195"/>
      <c r="O725" s="195"/>
      <c r="P725" s="195"/>
      <c r="Q725" s="54"/>
      <c r="R725" s="196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  <c r="DK725" s="54"/>
    </row>
    <row r="726" customFormat="false" ht="11.25" hidden="false" customHeight="true" outlineLevel="0" collapsed="false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L726" s="54"/>
      <c r="M726" s="54"/>
      <c r="N726" s="195"/>
      <c r="O726" s="195"/>
      <c r="P726" s="195"/>
      <c r="Q726" s="54"/>
      <c r="R726" s="196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  <c r="DK726" s="54"/>
    </row>
    <row r="727" customFormat="false" ht="11.25" hidden="false" customHeight="true" outlineLevel="0" collapsed="false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L727" s="54"/>
      <c r="M727" s="54"/>
      <c r="N727" s="195"/>
      <c r="O727" s="195"/>
      <c r="P727" s="195"/>
      <c r="Q727" s="54"/>
      <c r="R727" s="196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  <c r="DK727" s="54"/>
    </row>
    <row r="728" customFormat="false" ht="11.25" hidden="false" customHeight="true" outlineLevel="0" collapsed="false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L728" s="54"/>
      <c r="M728" s="54"/>
      <c r="N728" s="195"/>
      <c r="O728" s="195"/>
      <c r="P728" s="195"/>
      <c r="Q728" s="54"/>
      <c r="R728" s="196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  <c r="DK728" s="54"/>
    </row>
    <row r="729" customFormat="false" ht="11.25" hidden="false" customHeight="true" outlineLevel="0" collapsed="false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L729" s="54"/>
      <c r="M729" s="54"/>
      <c r="N729" s="195"/>
      <c r="O729" s="195"/>
      <c r="P729" s="195"/>
      <c r="Q729" s="54"/>
      <c r="R729" s="196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  <c r="DK729" s="54"/>
    </row>
    <row r="730" customFormat="false" ht="11.25" hidden="false" customHeight="true" outlineLevel="0" collapsed="false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L730" s="54"/>
      <c r="M730" s="54"/>
      <c r="N730" s="195"/>
      <c r="O730" s="195"/>
      <c r="P730" s="195"/>
      <c r="Q730" s="54"/>
      <c r="R730" s="196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  <c r="DK730" s="54"/>
    </row>
    <row r="731" customFormat="false" ht="11.25" hidden="false" customHeight="true" outlineLevel="0" collapsed="false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L731" s="54"/>
      <c r="M731" s="54"/>
      <c r="N731" s="195"/>
      <c r="O731" s="195"/>
      <c r="P731" s="195"/>
      <c r="Q731" s="54"/>
      <c r="R731" s="196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  <c r="DK731" s="54"/>
    </row>
    <row r="732" customFormat="false" ht="11.25" hidden="false" customHeight="true" outlineLevel="0" collapsed="false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L732" s="54"/>
      <c r="M732" s="54"/>
      <c r="N732" s="195"/>
      <c r="O732" s="195"/>
      <c r="P732" s="195"/>
      <c r="Q732" s="54"/>
      <c r="R732" s="196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  <c r="DK732" s="54"/>
    </row>
    <row r="733" customFormat="false" ht="11.25" hidden="false" customHeight="true" outlineLevel="0" collapsed="false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L733" s="54"/>
      <c r="M733" s="54"/>
      <c r="N733" s="195"/>
      <c r="O733" s="195"/>
      <c r="P733" s="195"/>
      <c r="Q733" s="54"/>
      <c r="R733" s="196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  <c r="DK733" s="54"/>
    </row>
    <row r="734" customFormat="false" ht="11.25" hidden="false" customHeight="true" outlineLevel="0" collapsed="false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L734" s="54"/>
      <c r="M734" s="54"/>
      <c r="N734" s="195"/>
      <c r="O734" s="195"/>
      <c r="P734" s="195"/>
      <c r="Q734" s="54"/>
      <c r="R734" s="196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  <c r="DK734" s="54"/>
    </row>
    <row r="735" customFormat="false" ht="11.25" hidden="false" customHeight="true" outlineLevel="0" collapsed="false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L735" s="54"/>
      <c r="M735" s="54"/>
      <c r="N735" s="195"/>
      <c r="O735" s="195"/>
      <c r="P735" s="195"/>
      <c r="Q735" s="54"/>
      <c r="R735" s="196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  <c r="DK735" s="54"/>
    </row>
    <row r="736" customFormat="false" ht="11.25" hidden="false" customHeight="true" outlineLevel="0" collapsed="false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L736" s="54"/>
      <c r="M736" s="54"/>
      <c r="N736" s="195"/>
      <c r="O736" s="195"/>
      <c r="P736" s="195"/>
      <c r="Q736" s="54"/>
      <c r="R736" s="196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</row>
    <row r="737" customFormat="false" ht="11.25" hidden="false" customHeight="true" outlineLevel="0" collapsed="false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L737" s="54"/>
      <c r="M737" s="54"/>
      <c r="N737" s="195"/>
      <c r="O737" s="195"/>
      <c r="P737" s="195"/>
      <c r="Q737" s="54"/>
      <c r="R737" s="196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  <c r="DK737" s="54"/>
    </row>
    <row r="738" customFormat="false" ht="11.25" hidden="false" customHeight="true" outlineLevel="0" collapsed="false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L738" s="54"/>
      <c r="M738" s="54"/>
      <c r="N738" s="195"/>
      <c r="O738" s="195"/>
      <c r="P738" s="195"/>
      <c r="Q738" s="54"/>
      <c r="R738" s="196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  <c r="DK738" s="54"/>
    </row>
    <row r="739" customFormat="false" ht="11.25" hidden="false" customHeight="true" outlineLevel="0" collapsed="false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L739" s="54"/>
      <c r="M739" s="54"/>
      <c r="N739" s="195"/>
      <c r="O739" s="195"/>
      <c r="P739" s="195"/>
      <c r="Q739" s="54"/>
      <c r="R739" s="196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  <c r="DK739" s="54"/>
    </row>
    <row r="740" customFormat="false" ht="11.25" hidden="false" customHeight="true" outlineLevel="0" collapsed="false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L740" s="54"/>
      <c r="M740" s="54"/>
      <c r="N740" s="195"/>
      <c r="O740" s="195"/>
      <c r="P740" s="195"/>
      <c r="Q740" s="54"/>
      <c r="R740" s="196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  <c r="DK740" s="54"/>
    </row>
    <row r="741" customFormat="false" ht="11.25" hidden="false" customHeight="true" outlineLevel="0" collapsed="false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L741" s="54"/>
      <c r="M741" s="54"/>
      <c r="N741" s="195"/>
      <c r="O741" s="195"/>
      <c r="P741" s="195"/>
      <c r="Q741" s="54"/>
      <c r="R741" s="196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  <c r="DK741" s="54"/>
    </row>
    <row r="742" customFormat="false" ht="11.25" hidden="false" customHeight="true" outlineLevel="0" collapsed="false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L742" s="54"/>
      <c r="M742" s="54"/>
      <c r="N742" s="195"/>
      <c r="O742" s="195"/>
      <c r="P742" s="195"/>
      <c r="Q742" s="54"/>
      <c r="R742" s="196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  <c r="DK742" s="54"/>
    </row>
    <row r="743" customFormat="false" ht="11.25" hidden="false" customHeight="true" outlineLevel="0" collapsed="false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L743" s="54"/>
      <c r="M743" s="54"/>
      <c r="N743" s="195"/>
      <c r="O743" s="195"/>
      <c r="P743" s="195"/>
      <c r="Q743" s="54"/>
      <c r="R743" s="196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  <c r="DK743" s="54"/>
    </row>
    <row r="744" customFormat="false" ht="11.25" hidden="false" customHeight="true" outlineLevel="0" collapsed="false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L744" s="54"/>
      <c r="M744" s="54"/>
      <c r="N744" s="195"/>
      <c r="O744" s="195"/>
      <c r="P744" s="195"/>
      <c r="Q744" s="54"/>
      <c r="R744" s="196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  <c r="DK744" s="54"/>
    </row>
    <row r="745" customFormat="false" ht="11.25" hidden="false" customHeight="true" outlineLevel="0" collapsed="false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L745" s="54"/>
      <c r="M745" s="54"/>
      <c r="N745" s="195"/>
      <c r="O745" s="195"/>
      <c r="P745" s="195"/>
      <c r="Q745" s="54"/>
      <c r="R745" s="196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  <c r="DK745" s="54"/>
    </row>
    <row r="746" customFormat="false" ht="11.25" hidden="false" customHeight="true" outlineLevel="0" collapsed="false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L746" s="54"/>
      <c r="M746" s="54"/>
      <c r="N746" s="195"/>
      <c r="O746" s="195"/>
      <c r="P746" s="195"/>
      <c r="Q746" s="54"/>
      <c r="R746" s="196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  <c r="DK746" s="54"/>
    </row>
    <row r="747" customFormat="false" ht="11.25" hidden="false" customHeight="true" outlineLevel="0" collapsed="false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L747" s="54"/>
      <c r="M747" s="54"/>
      <c r="N747" s="195"/>
      <c r="O747" s="195"/>
      <c r="P747" s="195"/>
      <c r="Q747" s="54"/>
      <c r="R747" s="196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  <c r="DK747" s="54"/>
    </row>
    <row r="748" customFormat="false" ht="11.25" hidden="false" customHeight="true" outlineLevel="0" collapsed="false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L748" s="54"/>
      <c r="M748" s="54"/>
      <c r="N748" s="195"/>
      <c r="O748" s="195"/>
      <c r="P748" s="195"/>
      <c r="Q748" s="54"/>
      <c r="R748" s="196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  <c r="DK748" s="54"/>
    </row>
    <row r="749" customFormat="false" ht="11.25" hidden="false" customHeight="true" outlineLevel="0" collapsed="false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L749" s="54"/>
      <c r="M749" s="54"/>
      <c r="N749" s="195"/>
      <c r="O749" s="195"/>
      <c r="P749" s="195"/>
      <c r="Q749" s="54"/>
      <c r="R749" s="196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  <c r="DK749" s="54"/>
    </row>
    <row r="750" customFormat="false" ht="11.25" hidden="false" customHeight="true" outlineLevel="0" collapsed="false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L750" s="54"/>
      <c r="M750" s="54"/>
      <c r="N750" s="195"/>
      <c r="O750" s="195"/>
      <c r="P750" s="195"/>
      <c r="Q750" s="54"/>
      <c r="R750" s="196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</row>
    <row r="751" customFormat="false" ht="11.25" hidden="false" customHeight="true" outlineLevel="0" collapsed="false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L751" s="54"/>
      <c r="M751" s="54"/>
      <c r="N751" s="195"/>
      <c r="O751" s="195"/>
      <c r="P751" s="195"/>
      <c r="Q751" s="54"/>
      <c r="R751" s="196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</row>
    <row r="752" customFormat="false" ht="11.25" hidden="false" customHeight="true" outlineLevel="0" collapsed="false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L752" s="54"/>
      <c r="M752" s="54"/>
      <c r="N752" s="195"/>
      <c r="O752" s="195"/>
      <c r="P752" s="195"/>
      <c r="Q752" s="54"/>
      <c r="R752" s="196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</row>
    <row r="753" customFormat="false" ht="11.25" hidden="false" customHeight="true" outlineLevel="0" collapsed="false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L753" s="54"/>
      <c r="M753" s="54"/>
      <c r="N753" s="195"/>
      <c r="O753" s="195"/>
      <c r="P753" s="195"/>
      <c r="Q753" s="54"/>
      <c r="R753" s="196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</row>
    <row r="754" customFormat="false" ht="11.25" hidden="false" customHeight="true" outlineLevel="0" collapsed="false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L754" s="54"/>
      <c r="M754" s="54"/>
      <c r="N754" s="195"/>
      <c r="O754" s="195"/>
      <c r="P754" s="195"/>
      <c r="Q754" s="54"/>
      <c r="R754" s="196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</row>
    <row r="755" customFormat="false" ht="11.25" hidden="false" customHeight="true" outlineLevel="0" collapsed="false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L755" s="54"/>
      <c r="M755" s="54"/>
      <c r="N755" s="195"/>
      <c r="O755" s="195"/>
      <c r="P755" s="195"/>
      <c r="Q755" s="54"/>
      <c r="R755" s="196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  <c r="DK755" s="54"/>
    </row>
    <row r="756" customFormat="false" ht="11.25" hidden="false" customHeight="true" outlineLevel="0" collapsed="false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L756" s="54"/>
      <c r="M756" s="54"/>
      <c r="N756" s="195"/>
      <c r="O756" s="195"/>
      <c r="P756" s="195"/>
      <c r="Q756" s="54"/>
      <c r="R756" s="196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  <c r="DK756" s="54"/>
    </row>
    <row r="757" customFormat="false" ht="11.25" hidden="false" customHeight="true" outlineLevel="0" collapsed="false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L757" s="54"/>
      <c r="M757" s="54"/>
      <c r="N757" s="195"/>
      <c r="O757" s="195"/>
      <c r="P757" s="195"/>
      <c r="Q757" s="54"/>
      <c r="R757" s="196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  <c r="DK757" s="54"/>
    </row>
    <row r="758" customFormat="false" ht="11.25" hidden="false" customHeight="true" outlineLevel="0" collapsed="false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L758" s="54"/>
      <c r="M758" s="54"/>
      <c r="N758" s="195"/>
      <c r="O758" s="195"/>
      <c r="P758" s="195"/>
      <c r="Q758" s="54"/>
      <c r="R758" s="196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  <c r="DK758" s="54"/>
    </row>
    <row r="759" customFormat="false" ht="11.25" hidden="false" customHeight="true" outlineLevel="0" collapsed="false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L759" s="54"/>
      <c r="M759" s="54"/>
      <c r="N759" s="195"/>
      <c r="O759" s="195"/>
      <c r="P759" s="195"/>
      <c r="Q759" s="54"/>
      <c r="R759" s="196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  <c r="DK759" s="54"/>
    </row>
    <row r="760" customFormat="false" ht="11.25" hidden="false" customHeight="true" outlineLevel="0" collapsed="false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L760" s="54"/>
      <c r="M760" s="54"/>
      <c r="N760" s="195"/>
      <c r="O760" s="195"/>
      <c r="P760" s="195"/>
      <c r="Q760" s="54"/>
      <c r="R760" s="196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  <c r="DK760" s="54"/>
    </row>
    <row r="761" customFormat="false" ht="11.25" hidden="false" customHeight="true" outlineLevel="0" collapsed="false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L761" s="54"/>
      <c r="M761" s="54"/>
      <c r="N761" s="195"/>
      <c r="O761" s="195"/>
      <c r="P761" s="195"/>
      <c r="Q761" s="54"/>
      <c r="R761" s="196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  <c r="DK761" s="54"/>
    </row>
    <row r="762" customFormat="false" ht="11.25" hidden="false" customHeight="true" outlineLevel="0" collapsed="false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L762" s="54"/>
      <c r="M762" s="54"/>
      <c r="N762" s="195"/>
      <c r="O762" s="195"/>
      <c r="P762" s="195"/>
      <c r="Q762" s="54"/>
      <c r="R762" s="196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  <c r="DK762" s="54"/>
    </row>
    <row r="763" customFormat="false" ht="11.25" hidden="false" customHeight="true" outlineLevel="0" collapsed="false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L763" s="54"/>
      <c r="M763" s="54"/>
      <c r="N763" s="195"/>
      <c r="O763" s="195"/>
      <c r="P763" s="195"/>
      <c r="Q763" s="54"/>
      <c r="R763" s="196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  <c r="DK763" s="54"/>
    </row>
    <row r="764" customFormat="false" ht="11.25" hidden="false" customHeight="true" outlineLevel="0" collapsed="false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L764" s="54"/>
      <c r="M764" s="54"/>
      <c r="N764" s="195"/>
      <c r="O764" s="195"/>
      <c r="P764" s="195"/>
      <c r="Q764" s="54"/>
      <c r="R764" s="196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  <c r="DK764" s="54"/>
    </row>
    <row r="765" customFormat="false" ht="11.25" hidden="false" customHeight="true" outlineLevel="0" collapsed="false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L765" s="54"/>
      <c r="M765" s="54"/>
      <c r="N765" s="195"/>
      <c r="O765" s="195"/>
      <c r="P765" s="195"/>
      <c r="Q765" s="54"/>
      <c r="R765" s="196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  <c r="DK765" s="54"/>
    </row>
    <row r="766" customFormat="false" ht="11.25" hidden="false" customHeight="true" outlineLevel="0" collapsed="false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L766" s="54"/>
      <c r="M766" s="54"/>
      <c r="N766" s="195"/>
      <c r="O766" s="195"/>
      <c r="P766" s="195"/>
      <c r="Q766" s="54"/>
      <c r="R766" s="196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  <c r="DK766" s="54"/>
    </row>
    <row r="767" customFormat="false" ht="11.25" hidden="false" customHeight="true" outlineLevel="0" collapsed="false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L767" s="54"/>
      <c r="M767" s="54"/>
      <c r="N767" s="195"/>
      <c r="O767" s="195"/>
      <c r="P767" s="195"/>
      <c r="Q767" s="54"/>
      <c r="R767" s="196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  <c r="DK767" s="54"/>
    </row>
    <row r="768" customFormat="false" ht="11.25" hidden="false" customHeight="true" outlineLevel="0" collapsed="false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L768" s="54"/>
      <c r="M768" s="54"/>
      <c r="N768" s="195"/>
      <c r="O768" s="195"/>
      <c r="P768" s="195"/>
      <c r="Q768" s="54"/>
      <c r="R768" s="196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  <c r="DK768" s="54"/>
    </row>
    <row r="769" customFormat="false" ht="11.25" hidden="false" customHeight="true" outlineLevel="0" collapsed="false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L769" s="54"/>
      <c r="M769" s="54"/>
      <c r="N769" s="195"/>
      <c r="O769" s="195"/>
      <c r="P769" s="195"/>
      <c r="Q769" s="54"/>
      <c r="R769" s="196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  <c r="DK769" s="54"/>
    </row>
    <row r="770" customFormat="false" ht="11.25" hidden="false" customHeight="true" outlineLevel="0" collapsed="false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L770" s="54"/>
      <c r="M770" s="54"/>
      <c r="N770" s="195"/>
      <c r="O770" s="195"/>
      <c r="P770" s="195"/>
      <c r="Q770" s="54"/>
      <c r="R770" s="196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  <c r="DK770" s="54"/>
    </row>
    <row r="771" customFormat="false" ht="11.25" hidden="false" customHeight="true" outlineLevel="0" collapsed="false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L771" s="54"/>
      <c r="M771" s="54"/>
      <c r="N771" s="195"/>
      <c r="O771" s="195"/>
      <c r="P771" s="195"/>
      <c r="Q771" s="54"/>
      <c r="R771" s="196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  <c r="DK771" s="54"/>
    </row>
    <row r="772" customFormat="false" ht="11.25" hidden="false" customHeight="true" outlineLevel="0" collapsed="false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L772" s="54"/>
      <c r="M772" s="54"/>
      <c r="N772" s="195"/>
      <c r="O772" s="195"/>
      <c r="P772" s="195"/>
      <c r="Q772" s="54"/>
      <c r="R772" s="196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  <c r="DK772" s="54"/>
    </row>
    <row r="773" customFormat="false" ht="11.25" hidden="false" customHeight="true" outlineLevel="0" collapsed="false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L773" s="54"/>
      <c r="M773" s="54"/>
      <c r="N773" s="195"/>
      <c r="O773" s="195"/>
      <c r="P773" s="195"/>
      <c r="Q773" s="54"/>
      <c r="R773" s="196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  <c r="DK773" s="54"/>
    </row>
    <row r="774" customFormat="false" ht="11.25" hidden="false" customHeight="true" outlineLevel="0" collapsed="false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L774" s="54"/>
      <c r="M774" s="54"/>
      <c r="N774" s="195"/>
      <c r="O774" s="195"/>
      <c r="P774" s="195"/>
      <c r="Q774" s="54"/>
      <c r="R774" s="196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  <c r="DK774" s="54"/>
    </row>
    <row r="775" customFormat="false" ht="11.25" hidden="false" customHeight="true" outlineLevel="0" collapsed="false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L775" s="54"/>
      <c r="M775" s="54"/>
      <c r="N775" s="195"/>
      <c r="O775" s="195"/>
      <c r="P775" s="195"/>
      <c r="Q775" s="54"/>
      <c r="R775" s="196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  <c r="DK775" s="54"/>
    </row>
    <row r="776" customFormat="false" ht="11.25" hidden="false" customHeight="true" outlineLevel="0" collapsed="false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L776" s="54"/>
      <c r="M776" s="54"/>
      <c r="N776" s="195"/>
      <c r="O776" s="195"/>
      <c r="P776" s="195"/>
      <c r="Q776" s="54"/>
      <c r="R776" s="196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  <c r="DK776" s="54"/>
    </row>
    <row r="777" customFormat="false" ht="11.25" hidden="false" customHeight="true" outlineLevel="0" collapsed="false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L777" s="54"/>
      <c r="M777" s="54"/>
      <c r="N777" s="195"/>
      <c r="O777" s="195"/>
      <c r="P777" s="195"/>
      <c r="Q777" s="54"/>
      <c r="R777" s="196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  <c r="DK777" s="54"/>
    </row>
    <row r="778" customFormat="false" ht="11.25" hidden="false" customHeight="true" outlineLevel="0" collapsed="false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L778" s="54"/>
      <c r="M778" s="54"/>
      <c r="N778" s="195"/>
      <c r="O778" s="195"/>
      <c r="P778" s="195"/>
      <c r="Q778" s="54"/>
      <c r="R778" s="196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  <c r="DK778" s="54"/>
    </row>
    <row r="779" customFormat="false" ht="11.25" hidden="false" customHeight="true" outlineLevel="0" collapsed="false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L779" s="54"/>
      <c r="M779" s="54"/>
      <c r="N779" s="195"/>
      <c r="O779" s="195"/>
      <c r="P779" s="195"/>
      <c r="Q779" s="54"/>
      <c r="R779" s="196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  <c r="DK779" s="54"/>
    </row>
    <row r="780" customFormat="false" ht="11.25" hidden="false" customHeight="true" outlineLevel="0" collapsed="false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L780" s="54"/>
      <c r="M780" s="54"/>
      <c r="N780" s="195"/>
      <c r="O780" s="195"/>
      <c r="P780" s="195"/>
      <c r="Q780" s="54"/>
      <c r="R780" s="196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  <c r="DK780" s="54"/>
    </row>
    <row r="781" customFormat="false" ht="11.25" hidden="false" customHeight="true" outlineLevel="0" collapsed="false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L781" s="54"/>
      <c r="M781" s="54"/>
      <c r="N781" s="195"/>
      <c r="O781" s="195"/>
      <c r="P781" s="195"/>
      <c r="Q781" s="54"/>
      <c r="R781" s="196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  <c r="DK781" s="54"/>
    </row>
    <row r="782" customFormat="false" ht="11.25" hidden="false" customHeight="true" outlineLevel="0" collapsed="false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L782" s="54"/>
      <c r="M782" s="54"/>
      <c r="N782" s="195"/>
      <c r="O782" s="195"/>
      <c r="P782" s="195"/>
      <c r="Q782" s="54"/>
      <c r="R782" s="196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  <c r="DK782" s="54"/>
    </row>
    <row r="783" customFormat="false" ht="11.25" hidden="false" customHeight="true" outlineLevel="0" collapsed="false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L783" s="54"/>
      <c r="M783" s="54"/>
      <c r="N783" s="195"/>
      <c r="O783" s="195"/>
      <c r="P783" s="195"/>
      <c r="Q783" s="54"/>
      <c r="R783" s="196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  <c r="DK783" s="54"/>
    </row>
    <row r="784" customFormat="false" ht="11.25" hidden="false" customHeight="true" outlineLevel="0" collapsed="false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L784" s="54"/>
      <c r="M784" s="54"/>
      <c r="N784" s="195"/>
      <c r="O784" s="195"/>
      <c r="P784" s="195"/>
      <c r="Q784" s="54"/>
      <c r="R784" s="196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  <c r="DK784" s="54"/>
    </row>
    <row r="785" customFormat="false" ht="11.25" hidden="false" customHeight="true" outlineLevel="0" collapsed="false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L785" s="54"/>
      <c r="M785" s="54"/>
      <c r="N785" s="195"/>
      <c r="O785" s="195"/>
      <c r="P785" s="195"/>
      <c r="Q785" s="54"/>
      <c r="R785" s="196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  <c r="DK785" s="54"/>
    </row>
    <row r="786" customFormat="false" ht="11.25" hidden="false" customHeight="true" outlineLevel="0" collapsed="false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L786" s="54"/>
      <c r="M786" s="54"/>
      <c r="N786" s="195"/>
      <c r="O786" s="195"/>
      <c r="P786" s="195"/>
      <c r="Q786" s="54"/>
      <c r="R786" s="196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  <c r="DK786" s="54"/>
    </row>
    <row r="787" customFormat="false" ht="11.25" hidden="false" customHeight="true" outlineLevel="0" collapsed="false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L787" s="54"/>
      <c r="M787" s="54"/>
      <c r="N787" s="195"/>
      <c r="O787" s="195"/>
      <c r="P787" s="195"/>
      <c r="Q787" s="54"/>
      <c r="R787" s="196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  <c r="DK787" s="54"/>
    </row>
    <row r="788" customFormat="false" ht="11.25" hidden="false" customHeight="true" outlineLevel="0" collapsed="false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L788" s="54"/>
      <c r="M788" s="54"/>
      <c r="N788" s="195"/>
      <c r="O788" s="195"/>
      <c r="P788" s="195"/>
      <c r="Q788" s="54"/>
      <c r="R788" s="196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  <c r="DK788" s="54"/>
    </row>
    <row r="789" customFormat="false" ht="11.25" hidden="false" customHeight="true" outlineLevel="0" collapsed="false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L789" s="54"/>
      <c r="M789" s="54"/>
      <c r="N789" s="195"/>
      <c r="O789" s="195"/>
      <c r="P789" s="195"/>
      <c r="Q789" s="54"/>
      <c r="R789" s="196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  <c r="DK789" s="54"/>
    </row>
    <row r="790" customFormat="false" ht="11.25" hidden="false" customHeight="true" outlineLevel="0" collapsed="false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L790" s="54"/>
      <c r="M790" s="54"/>
      <c r="N790" s="195"/>
      <c r="O790" s="195"/>
      <c r="P790" s="195"/>
      <c r="Q790" s="54"/>
      <c r="R790" s="196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  <c r="DK790" s="54"/>
    </row>
    <row r="791" customFormat="false" ht="11.25" hidden="false" customHeight="true" outlineLevel="0" collapsed="false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L791" s="54"/>
      <c r="M791" s="54"/>
      <c r="N791" s="195"/>
      <c r="O791" s="195"/>
      <c r="P791" s="195"/>
      <c r="Q791" s="54"/>
      <c r="R791" s="196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  <c r="DK791" s="54"/>
    </row>
    <row r="792" customFormat="false" ht="11.25" hidden="false" customHeight="true" outlineLevel="0" collapsed="false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L792" s="54"/>
      <c r="M792" s="54"/>
      <c r="N792" s="195"/>
      <c r="O792" s="195"/>
      <c r="P792" s="195"/>
      <c r="Q792" s="54"/>
      <c r="R792" s="196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  <c r="DK792" s="54"/>
    </row>
    <row r="793" customFormat="false" ht="11.25" hidden="false" customHeight="true" outlineLevel="0" collapsed="false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L793" s="54"/>
      <c r="M793" s="54"/>
      <c r="N793" s="195"/>
      <c r="O793" s="195"/>
      <c r="P793" s="195"/>
      <c r="Q793" s="54"/>
      <c r="R793" s="196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  <c r="DK793" s="54"/>
    </row>
    <row r="794" customFormat="false" ht="11.25" hidden="false" customHeight="true" outlineLevel="0" collapsed="false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L794" s="54"/>
      <c r="M794" s="54"/>
      <c r="N794" s="195"/>
      <c r="O794" s="195"/>
      <c r="P794" s="195"/>
      <c r="Q794" s="54"/>
      <c r="R794" s="196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  <c r="DK794" s="54"/>
    </row>
    <row r="795" customFormat="false" ht="11.25" hidden="false" customHeight="true" outlineLevel="0" collapsed="false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L795" s="54"/>
      <c r="M795" s="54"/>
      <c r="N795" s="195"/>
      <c r="O795" s="195"/>
      <c r="P795" s="195"/>
      <c r="Q795" s="54"/>
      <c r="R795" s="196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  <c r="DK795" s="54"/>
    </row>
    <row r="796" customFormat="false" ht="11.25" hidden="false" customHeight="true" outlineLevel="0" collapsed="false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L796" s="54"/>
      <c r="M796" s="54"/>
      <c r="N796" s="195"/>
      <c r="O796" s="195"/>
      <c r="P796" s="195"/>
      <c r="Q796" s="54"/>
      <c r="R796" s="196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  <c r="DK796" s="54"/>
    </row>
    <row r="797" customFormat="false" ht="11.25" hidden="false" customHeight="true" outlineLevel="0" collapsed="false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L797" s="54"/>
      <c r="M797" s="54"/>
      <c r="N797" s="195"/>
      <c r="O797" s="195"/>
      <c r="P797" s="195"/>
      <c r="Q797" s="54"/>
      <c r="R797" s="196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  <c r="DK797" s="54"/>
    </row>
    <row r="798" customFormat="false" ht="11.25" hidden="false" customHeight="true" outlineLevel="0" collapsed="false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L798" s="54"/>
      <c r="M798" s="54"/>
      <c r="N798" s="195"/>
      <c r="O798" s="195"/>
      <c r="P798" s="195"/>
      <c r="Q798" s="54"/>
      <c r="R798" s="196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</row>
    <row r="799" customFormat="false" ht="11.25" hidden="false" customHeight="true" outlineLevel="0" collapsed="false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L799" s="54"/>
      <c r="M799" s="54"/>
      <c r="N799" s="195"/>
      <c r="O799" s="195"/>
      <c r="P799" s="195"/>
      <c r="Q799" s="54"/>
      <c r="R799" s="196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  <c r="DK799" s="54"/>
    </row>
    <row r="800" customFormat="false" ht="11.25" hidden="false" customHeight="true" outlineLevel="0" collapsed="false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L800" s="54"/>
      <c r="M800" s="54"/>
      <c r="N800" s="195"/>
      <c r="O800" s="195"/>
      <c r="P800" s="195"/>
      <c r="Q800" s="54"/>
      <c r="R800" s="196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  <c r="DK800" s="54"/>
    </row>
    <row r="801" customFormat="false" ht="11.25" hidden="false" customHeight="true" outlineLevel="0" collapsed="false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L801" s="54"/>
      <c r="M801" s="54"/>
      <c r="N801" s="195"/>
      <c r="O801" s="195"/>
      <c r="P801" s="195"/>
      <c r="Q801" s="54"/>
      <c r="R801" s="196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  <c r="DK801" s="54"/>
    </row>
    <row r="802" customFormat="false" ht="11.25" hidden="false" customHeight="true" outlineLevel="0" collapsed="false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L802" s="54"/>
      <c r="M802" s="54"/>
      <c r="N802" s="195"/>
      <c r="O802" s="195"/>
      <c r="P802" s="195"/>
      <c r="Q802" s="54"/>
      <c r="R802" s="196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  <c r="DK802" s="54"/>
    </row>
    <row r="803" customFormat="false" ht="11.25" hidden="false" customHeight="true" outlineLevel="0" collapsed="false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L803" s="54"/>
      <c r="M803" s="54"/>
      <c r="N803" s="195"/>
      <c r="O803" s="195"/>
      <c r="P803" s="195"/>
      <c r="Q803" s="54"/>
      <c r="R803" s="196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  <c r="DK803" s="54"/>
    </row>
    <row r="804" customFormat="false" ht="11.25" hidden="false" customHeight="true" outlineLevel="0" collapsed="false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L804" s="54"/>
      <c r="M804" s="54"/>
      <c r="N804" s="195"/>
      <c r="O804" s="195"/>
      <c r="P804" s="195"/>
      <c r="Q804" s="54"/>
      <c r="R804" s="196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  <c r="DK804" s="54"/>
    </row>
    <row r="805" customFormat="false" ht="11.25" hidden="false" customHeight="true" outlineLevel="0" collapsed="false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L805" s="54"/>
      <c r="M805" s="54"/>
      <c r="N805" s="195"/>
      <c r="O805" s="195"/>
      <c r="P805" s="195"/>
      <c r="Q805" s="54"/>
      <c r="R805" s="196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  <c r="DK805" s="54"/>
    </row>
    <row r="806" customFormat="false" ht="11.25" hidden="false" customHeight="true" outlineLevel="0" collapsed="false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L806" s="54"/>
      <c r="M806" s="54"/>
      <c r="N806" s="195"/>
      <c r="O806" s="195"/>
      <c r="P806" s="195"/>
      <c r="Q806" s="54"/>
      <c r="R806" s="196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  <c r="DK806" s="54"/>
    </row>
    <row r="807" customFormat="false" ht="11.25" hidden="false" customHeight="true" outlineLevel="0" collapsed="false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L807" s="54"/>
      <c r="M807" s="54"/>
      <c r="N807" s="195"/>
      <c r="O807" s="195"/>
      <c r="P807" s="195"/>
      <c r="Q807" s="54"/>
      <c r="R807" s="196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  <c r="DK807" s="54"/>
    </row>
    <row r="808" customFormat="false" ht="11.25" hidden="false" customHeight="true" outlineLevel="0" collapsed="false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L808" s="54"/>
      <c r="M808" s="54"/>
      <c r="N808" s="195"/>
      <c r="O808" s="195"/>
      <c r="P808" s="195"/>
      <c r="Q808" s="54"/>
      <c r="R808" s="196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  <c r="DK808" s="54"/>
    </row>
    <row r="809" customFormat="false" ht="11.25" hidden="false" customHeight="true" outlineLevel="0" collapsed="false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L809" s="54"/>
      <c r="M809" s="54"/>
      <c r="N809" s="195"/>
      <c r="O809" s="195"/>
      <c r="P809" s="195"/>
      <c r="Q809" s="54"/>
      <c r="R809" s="196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  <c r="DK809" s="54"/>
    </row>
    <row r="810" customFormat="false" ht="11.25" hidden="false" customHeight="true" outlineLevel="0" collapsed="false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L810" s="54"/>
      <c r="M810" s="54"/>
      <c r="N810" s="195"/>
      <c r="O810" s="195"/>
      <c r="P810" s="195"/>
      <c r="Q810" s="54"/>
      <c r="R810" s="196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  <c r="DK810" s="54"/>
    </row>
    <row r="811" customFormat="false" ht="11.25" hidden="false" customHeight="true" outlineLevel="0" collapsed="false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L811" s="54"/>
      <c r="M811" s="54"/>
      <c r="N811" s="195"/>
      <c r="O811" s="195"/>
      <c r="P811" s="195"/>
      <c r="Q811" s="54"/>
      <c r="R811" s="196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  <c r="DK811" s="54"/>
    </row>
    <row r="812" customFormat="false" ht="11.25" hidden="false" customHeight="true" outlineLevel="0" collapsed="false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L812" s="54"/>
      <c r="M812" s="54"/>
      <c r="N812" s="195"/>
      <c r="O812" s="195"/>
      <c r="P812" s="195"/>
      <c r="Q812" s="54"/>
      <c r="R812" s="196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  <c r="DK812" s="54"/>
    </row>
    <row r="813" customFormat="false" ht="11.25" hidden="false" customHeight="true" outlineLevel="0" collapsed="false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L813" s="54"/>
      <c r="M813" s="54"/>
      <c r="N813" s="195"/>
      <c r="O813" s="195"/>
      <c r="P813" s="195"/>
      <c r="Q813" s="54"/>
      <c r="R813" s="196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  <c r="DK813" s="54"/>
    </row>
    <row r="814" customFormat="false" ht="11.25" hidden="false" customHeight="true" outlineLevel="0" collapsed="false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L814" s="54"/>
      <c r="M814" s="54"/>
      <c r="N814" s="195"/>
      <c r="O814" s="195"/>
      <c r="P814" s="195"/>
      <c r="Q814" s="54"/>
      <c r="R814" s="196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  <c r="DK814" s="54"/>
    </row>
    <row r="815" customFormat="false" ht="11.25" hidden="false" customHeight="true" outlineLevel="0" collapsed="false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L815" s="54"/>
      <c r="M815" s="54"/>
      <c r="N815" s="195"/>
      <c r="O815" s="195"/>
      <c r="P815" s="195"/>
      <c r="Q815" s="54"/>
      <c r="R815" s="196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  <c r="DK815" s="54"/>
    </row>
    <row r="816" customFormat="false" ht="11.25" hidden="false" customHeight="true" outlineLevel="0" collapsed="false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L816" s="54"/>
      <c r="M816" s="54"/>
      <c r="N816" s="195"/>
      <c r="O816" s="195"/>
      <c r="P816" s="195"/>
      <c r="Q816" s="54"/>
      <c r="R816" s="196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  <c r="DK816" s="54"/>
    </row>
    <row r="817" customFormat="false" ht="11.25" hidden="false" customHeight="true" outlineLevel="0" collapsed="false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L817" s="54"/>
      <c r="M817" s="54"/>
      <c r="N817" s="195"/>
      <c r="O817" s="195"/>
      <c r="P817" s="195"/>
      <c r="Q817" s="54"/>
      <c r="R817" s="196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  <c r="DK817" s="54"/>
    </row>
    <row r="818" customFormat="false" ht="11.25" hidden="false" customHeight="true" outlineLevel="0" collapsed="false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L818" s="54"/>
      <c r="M818" s="54"/>
      <c r="N818" s="195"/>
      <c r="O818" s="195"/>
      <c r="P818" s="195"/>
      <c r="Q818" s="54"/>
      <c r="R818" s="196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  <c r="DK818" s="54"/>
    </row>
    <row r="819" customFormat="false" ht="11.25" hidden="false" customHeight="true" outlineLevel="0" collapsed="false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L819" s="54"/>
      <c r="M819" s="54"/>
      <c r="N819" s="195"/>
      <c r="O819" s="195"/>
      <c r="P819" s="195"/>
      <c r="Q819" s="54"/>
      <c r="R819" s="196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  <c r="DK819" s="54"/>
    </row>
    <row r="820" customFormat="false" ht="11.25" hidden="false" customHeight="true" outlineLevel="0" collapsed="false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L820" s="54"/>
      <c r="M820" s="54"/>
      <c r="N820" s="195"/>
      <c r="O820" s="195"/>
      <c r="P820" s="195"/>
      <c r="Q820" s="54"/>
      <c r="R820" s="196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  <c r="DK820" s="54"/>
    </row>
    <row r="821" customFormat="false" ht="11.25" hidden="false" customHeight="true" outlineLevel="0" collapsed="false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L821" s="54"/>
      <c r="M821" s="54"/>
      <c r="N821" s="195"/>
      <c r="O821" s="195"/>
      <c r="P821" s="195"/>
      <c r="Q821" s="54"/>
      <c r="R821" s="196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  <c r="DK821" s="54"/>
    </row>
    <row r="822" customFormat="false" ht="11.25" hidden="false" customHeight="true" outlineLevel="0" collapsed="false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L822" s="54"/>
      <c r="M822" s="54"/>
      <c r="N822" s="195"/>
      <c r="O822" s="195"/>
      <c r="P822" s="195"/>
      <c r="Q822" s="54"/>
      <c r="R822" s="196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  <c r="DK822" s="54"/>
    </row>
    <row r="823" customFormat="false" ht="11.25" hidden="false" customHeight="true" outlineLevel="0" collapsed="false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L823" s="54"/>
      <c r="M823" s="54"/>
      <c r="N823" s="195"/>
      <c r="O823" s="195"/>
      <c r="P823" s="195"/>
      <c r="Q823" s="54"/>
      <c r="R823" s="196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  <c r="DK823" s="54"/>
    </row>
    <row r="824" customFormat="false" ht="11.25" hidden="false" customHeight="true" outlineLevel="0" collapsed="false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L824" s="54"/>
      <c r="M824" s="54"/>
      <c r="N824" s="195"/>
      <c r="O824" s="195"/>
      <c r="P824" s="195"/>
      <c r="Q824" s="54"/>
      <c r="R824" s="196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  <c r="DK824" s="54"/>
    </row>
    <row r="825" customFormat="false" ht="11.25" hidden="false" customHeight="true" outlineLevel="0" collapsed="false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L825" s="54"/>
      <c r="M825" s="54"/>
      <c r="N825" s="195"/>
      <c r="O825" s="195"/>
      <c r="P825" s="195"/>
      <c r="Q825" s="54"/>
      <c r="R825" s="196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  <c r="DK825" s="54"/>
    </row>
    <row r="826" customFormat="false" ht="11.25" hidden="false" customHeight="true" outlineLevel="0" collapsed="false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L826" s="54"/>
      <c r="M826" s="54"/>
      <c r="N826" s="195"/>
      <c r="O826" s="195"/>
      <c r="P826" s="195"/>
      <c r="Q826" s="54"/>
      <c r="R826" s="196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  <c r="DK826" s="54"/>
    </row>
    <row r="827" customFormat="false" ht="11.25" hidden="false" customHeight="true" outlineLevel="0" collapsed="false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L827" s="54"/>
      <c r="M827" s="54"/>
      <c r="N827" s="195"/>
      <c r="O827" s="195"/>
      <c r="P827" s="195"/>
      <c r="Q827" s="54"/>
      <c r="R827" s="196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  <c r="DK827" s="54"/>
    </row>
    <row r="828" customFormat="false" ht="11.25" hidden="false" customHeight="true" outlineLevel="0" collapsed="false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L828" s="54"/>
      <c r="M828" s="54"/>
      <c r="N828" s="195"/>
      <c r="O828" s="195"/>
      <c r="P828" s="195"/>
      <c r="Q828" s="54"/>
      <c r="R828" s="196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  <c r="DK828" s="54"/>
    </row>
    <row r="829" customFormat="false" ht="11.25" hidden="false" customHeight="true" outlineLevel="0" collapsed="false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L829" s="54"/>
      <c r="M829" s="54"/>
      <c r="N829" s="195"/>
      <c r="O829" s="195"/>
      <c r="P829" s="195"/>
      <c r="Q829" s="54"/>
      <c r="R829" s="196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  <c r="DK829" s="54"/>
    </row>
    <row r="830" customFormat="false" ht="11.25" hidden="false" customHeight="true" outlineLevel="0" collapsed="false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L830" s="54"/>
      <c r="M830" s="54"/>
      <c r="N830" s="195"/>
      <c r="O830" s="195"/>
      <c r="P830" s="195"/>
      <c r="Q830" s="54"/>
      <c r="R830" s="196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  <c r="DK830" s="54"/>
    </row>
    <row r="831" customFormat="false" ht="11.25" hidden="false" customHeight="true" outlineLevel="0" collapsed="false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L831" s="54"/>
      <c r="M831" s="54"/>
      <c r="N831" s="195"/>
      <c r="O831" s="195"/>
      <c r="P831" s="195"/>
      <c r="Q831" s="54"/>
      <c r="R831" s="196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  <c r="DK831" s="54"/>
    </row>
    <row r="832" customFormat="false" ht="11.25" hidden="false" customHeight="true" outlineLevel="0" collapsed="false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L832" s="54"/>
      <c r="M832" s="54"/>
      <c r="N832" s="195"/>
      <c r="O832" s="195"/>
      <c r="P832" s="195"/>
      <c r="Q832" s="54"/>
      <c r="R832" s="196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  <c r="DK832" s="54"/>
    </row>
    <row r="833" customFormat="false" ht="11.25" hidden="false" customHeight="true" outlineLevel="0" collapsed="false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L833" s="54"/>
      <c r="M833" s="54"/>
      <c r="N833" s="195"/>
      <c r="O833" s="195"/>
      <c r="P833" s="195"/>
      <c r="Q833" s="54"/>
      <c r="R833" s="196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  <c r="DK833" s="54"/>
    </row>
    <row r="834" customFormat="false" ht="11.25" hidden="false" customHeight="true" outlineLevel="0" collapsed="false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L834" s="54"/>
      <c r="M834" s="54"/>
      <c r="N834" s="195"/>
      <c r="O834" s="195"/>
      <c r="P834" s="195"/>
      <c r="Q834" s="54"/>
      <c r="R834" s="196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  <c r="DK834" s="54"/>
    </row>
    <row r="835" customFormat="false" ht="11.25" hidden="false" customHeight="true" outlineLevel="0" collapsed="false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L835" s="54"/>
      <c r="M835" s="54"/>
      <c r="N835" s="195"/>
      <c r="O835" s="195"/>
      <c r="P835" s="195"/>
      <c r="Q835" s="54"/>
      <c r="R835" s="196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  <c r="DK835" s="54"/>
    </row>
    <row r="836" customFormat="false" ht="11.25" hidden="false" customHeight="true" outlineLevel="0" collapsed="false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L836" s="54"/>
      <c r="M836" s="54"/>
      <c r="N836" s="195"/>
      <c r="O836" s="195"/>
      <c r="P836" s="195"/>
      <c r="Q836" s="54"/>
      <c r="R836" s="196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  <c r="DK836" s="54"/>
    </row>
    <row r="837" customFormat="false" ht="11.25" hidden="false" customHeight="true" outlineLevel="0" collapsed="false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L837" s="54"/>
      <c r="M837" s="54"/>
      <c r="N837" s="195"/>
      <c r="O837" s="195"/>
      <c r="P837" s="195"/>
      <c r="Q837" s="54"/>
      <c r="R837" s="196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  <c r="DK837" s="54"/>
    </row>
    <row r="838" customFormat="false" ht="11.25" hidden="false" customHeight="true" outlineLevel="0" collapsed="false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L838" s="54"/>
      <c r="M838" s="54"/>
      <c r="N838" s="195"/>
      <c r="O838" s="195"/>
      <c r="P838" s="195"/>
      <c r="Q838" s="54"/>
      <c r="R838" s="196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  <c r="DK838" s="54"/>
    </row>
    <row r="839" customFormat="false" ht="11.25" hidden="false" customHeight="true" outlineLevel="0" collapsed="false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L839" s="54"/>
      <c r="M839" s="54"/>
      <c r="N839" s="195"/>
      <c r="O839" s="195"/>
      <c r="P839" s="195"/>
      <c r="Q839" s="54"/>
      <c r="R839" s="196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  <c r="DK839" s="54"/>
    </row>
    <row r="840" customFormat="false" ht="11.25" hidden="false" customHeight="true" outlineLevel="0" collapsed="false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L840" s="54"/>
      <c r="M840" s="54"/>
      <c r="N840" s="195"/>
      <c r="O840" s="195"/>
      <c r="P840" s="195"/>
      <c r="Q840" s="54"/>
      <c r="R840" s="196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  <c r="DK840" s="54"/>
    </row>
    <row r="841" customFormat="false" ht="11.25" hidden="false" customHeight="true" outlineLevel="0" collapsed="false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L841" s="54"/>
      <c r="M841" s="54"/>
      <c r="N841" s="195"/>
      <c r="O841" s="195"/>
      <c r="P841" s="195"/>
      <c r="Q841" s="54"/>
      <c r="R841" s="196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  <c r="DK841" s="54"/>
    </row>
    <row r="842" customFormat="false" ht="11.25" hidden="false" customHeight="true" outlineLevel="0" collapsed="false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L842" s="54"/>
      <c r="M842" s="54"/>
      <c r="N842" s="195"/>
      <c r="O842" s="195"/>
      <c r="P842" s="195"/>
      <c r="Q842" s="54"/>
      <c r="R842" s="196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  <c r="DK842" s="54"/>
    </row>
    <row r="843" customFormat="false" ht="11.25" hidden="false" customHeight="true" outlineLevel="0" collapsed="false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L843" s="54"/>
      <c r="M843" s="54"/>
      <c r="N843" s="195"/>
      <c r="O843" s="195"/>
      <c r="P843" s="195"/>
      <c r="Q843" s="54"/>
      <c r="R843" s="196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</row>
    <row r="844" customFormat="false" ht="11.25" hidden="false" customHeight="true" outlineLevel="0" collapsed="false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L844" s="54"/>
      <c r="M844" s="54"/>
      <c r="N844" s="195"/>
      <c r="O844" s="195"/>
      <c r="P844" s="195"/>
      <c r="Q844" s="54"/>
      <c r="R844" s="196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  <c r="DK844" s="54"/>
    </row>
    <row r="845" customFormat="false" ht="11.25" hidden="false" customHeight="true" outlineLevel="0" collapsed="false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L845" s="54"/>
      <c r="M845" s="54"/>
      <c r="N845" s="195"/>
      <c r="O845" s="195"/>
      <c r="P845" s="195"/>
      <c r="Q845" s="54"/>
      <c r="R845" s="196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  <c r="DK845" s="54"/>
    </row>
    <row r="846" customFormat="false" ht="11.25" hidden="false" customHeight="true" outlineLevel="0" collapsed="false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L846" s="54"/>
      <c r="M846" s="54"/>
      <c r="N846" s="195"/>
      <c r="O846" s="195"/>
      <c r="P846" s="195"/>
      <c r="Q846" s="54"/>
      <c r="R846" s="196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  <c r="DK846" s="54"/>
    </row>
    <row r="847" customFormat="false" ht="11.25" hidden="false" customHeight="true" outlineLevel="0" collapsed="false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L847" s="54"/>
      <c r="M847" s="54"/>
      <c r="N847" s="195"/>
      <c r="O847" s="195"/>
      <c r="P847" s="195"/>
      <c r="Q847" s="54"/>
      <c r="R847" s="196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  <c r="DK847" s="54"/>
    </row>
    <row r="848" customFormat="false" ht="11.25" hidden="false" customHeight="true" outlineLevel="0" collapsed="false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L848" s="54"/>
      <c r="M848" s="54"/>
      <c r="N848" s="195"/>
      <c r="O848" s="195"/>
      <c r="P848" s="195"/>
      <c r="Q848" s="54"/>
      <c r="R848" s="196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  <c r="DK848" s="54"/>
    </row>
    <row r="849" customFormat="false" ht="11.25" hidden="false" customHeight="true" outlineLevel="0" collapsed="false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L849" s="54"/>
      <c r="M849" s="54"/>
      <c r="N849" s="195"/>
      <c r="O849" s="195"/>
      <c r="P849" s="195"/>
      <c r="Q849" s="54"/>
      <c r="R849" s="196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  <c r="DK849" s="54"/>
    </row>
    <row r="850" customFormat="false" ht="11.25" hidden="false" customHeight="true" outlineLevel="0" collapsed="false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L850" s="54"/>
      <c r="M850" s="54"/>
      <c r="N850" s="195"/>
      <c r="O850" s="195"/>
      <c r="P850" s="195"/>
      <c r="Q850" s="54"/>
      <c r="R850" s="196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  <c r="DK850" s="54"/>
    </row>
    <row r="851" customFormat="false" ht="11.25" hidden="false" customHeight="true" outlineLevel="0" collapsed="false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L851" s="54"/>
      <c r="M851" s="54"/>
      <c r="N851" s="195"/>
      <c r="O851" s="195"/>
      <c r="P851" s="195"/>
      <c r="Q851" s="54"/>
      <c r="R851" s="196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  <c r="DK851" s="54"/>
    </row>
    <row r="852" customFormat="false" ht="11.25" hidden="false" customHeight="true" outlineLevel="0" collapsed="false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L852" s="54"/>
      <c r="M852" s="54"/>
      <c r="N852" s="195"/>
      <c r="O852" s="195"/>
      <c r="P852" s="195"/>
      <c r="Q852" s="54"/>
      <c r="R852" s="196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  <c r="DK852" s="54"/>
    </row>
    <row r="853" customFormat="false" ht="11.25" hidden="false" customHeight="true" outlineLevel="0" collapsed="false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L853" s="54"/>
      <c r="M853" s="54"/>
      <c r="N853" s="195"/>
      <c r="O853" s="195"/>
      <c r="P853" s="195"/>
      <c r="Q853" s="54"/>
      <c r="R853" s="196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  <c r="DK853" s="54"/>
    </row>
    <row r="854" customFormat="false" ht="11.25" hidden="false" customHeight="true" outlineLevel="0" collapsed="false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L854" s="54"/>
      <c r="M854" s="54"/>
      <c r="N854" s="195"/>
      <c r="O854" s="195"/>
      <c r="P854" s="195"/>
      <c r="Q854" s="54"/>
      <c r="R854" s="196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  <c r="DK854" s="54"/>
    </row>
    <row r="855" customFormat="false" ht="11.25" hidden="false" customHeight="true" outlineLevel="0" collapsed="false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L855" s="54"/>
      <c r="M855" s="54"/>
      <c r="N855" s="195"/>
      <c r="O855" s="195"/>
      <c r="P855" s="195"/>
      <c r="Q855" s="54"/>
      <c r="R855" s="196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  <c r="DK855" s="54"/>
    </row>
    <row r="856" customFormat="false" ht="11.25" hidden="false" customHeight="true" outlineLevel="0" collapsed="false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L856" s="54"/>
      <c r="M856" s="54"/>
      <c r="N856" s="195"/>
      <c r="O856" s="195"/>
      <c r="P856" s="195"/>
      <c r="Q856" s="54"/>
      <c r="R856" s="196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  <c r="DK856" s="54"/>
    </row>
    <row r="857" customFormat="false" ht="11.25" hidden="false" customHeight="true" outlineLevel="0" collapsed="false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L857" s="54"/>
      <c r="M857" s="54"/>
      <c r="N857" s="195"/>
      <c r="O857" s="195"/>
      <c r="P857" s="195"/>
      <c r="Q857" s="54"/>
      <c r="R857" s="196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  <c r="DK857" s="54"/>
    </row>
    <row r="858" customFormat="false" ht="11.25" hidden="false" customHeight="true" outlineLevel="0" collapsed="false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L858" s="54"/>
      <c r="M858" s="54"/>
      <c r="N858" s="195"/>
      <c r="O858" s="195"/>
      <c r="P858" s="195"/>
      <c r="Q858" s="54"/>
      <c r="R858" s="196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  <c r="DK858" s="54"/>
    </row>
    <row r="859" customFormat="false" ht="11.25" hidden="false" customHeight="true" outlineLevel="0" collapsed="false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L859" s="54"/>
      <c r="M859" s="54"/>
      <c r="N859" s="195"/>
      <c r="O859" s="195"/>
      <c r="P859" s="195"/>
      <c r="Q859" s="54"/>
      <c r="R859" s="196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  <c r="DK859" s="54"/>
    </row>
    <row r="860" customFormat="false" ht="11.25" hidden="false" customHeight="true" outlineLevel="0" collapsed="false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L860" s="54"/>
      <c r="M860" s="54"/>
      <c r="N860" s="195"/>
      <c r="O860" s="195"/>
      <c r="P860" s="195"/>
      <c r="Q860" s="54"/>
      <c r="R860" s="196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  <c r="DK860" s="54"/>
    </row>
    <row r="861" customFormat="false" ht="11.25" hidden="false" customHeight="true" outlineLevel="0" collapsed="false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L861" s="54"/>
      <c r="M861" s="54"/>
      <c r="N861" s="195"/>
      <c r="O861" s="195"/>
      <c r="P861" s="195"/>
      <c r="Q861" s="54"/>
      <c r="R861" s="196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  <c r="DK861" s="54"/>
    </row>
    <row r="862" customFormat="false" ht="11.25" hidden="false" customHeight="true" outlineLevel="0" collapsed="false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L862" s="54"/>
      <c r="M862" s="54"/>
      <c r="N862" s="195"/>
      <c r="O862" s="195"/>
      <c r="P862" s="195"/>
      <c r="Q862" s="54"/>
      <c r="R862" s="196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</row>
    <row r="863" customFormat="false" ht="11.25" hidden="false" customHeight="true" outlineLevel="0" collapsed="false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L863" s="54"/>
      <c r="M863" s="54"/>
      <c r="N863" s="195"/>
      <c r="O863" s="195"/>
      <c r="P863" s="195"/>
      <c r="Q863" s="54"/>
      <c r="R863" s="196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  <c r="DK863" s="54"/>
    </row>
    <row r="864" customFormat="false" ht="11.25" hidden="false" customHeight="true" outlineLevel="0" collapsed="false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L864" s="54"/>
      <c r="M864" s="54"/>
      <c r="N864" s="195"/>
      <c r="O864" s="195"/>
      <c r="P864" s="195"/>
      <c r="Q864" s="54"/>
      <c r="R864" s="196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  <c r="DK864" s="54"/>
    </row>
    <row r="865" customFormat="false" ht="11.25" hidden="false" customHeight="true" outlineLevel="0" collapsed="false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L865" s="54"/>
      <c r="M865" s="54"/>
      <c r="N865" s="195"/>
      <c r="O865" s="195"/>
      <c r="P865" s="195"/>
      <c r="Q865" s="54"/>
      <c r="R865" s="196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  <c r="DK865" s="54"/>
    </row>
    <row r="866" customFormat="false" ht="11.25" hidden="false" customHeight="true" outlineLevel="0" collapsed="false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L866" s="54"/>
      <c r="M866" s="54"/>
      <c r="N866" s="195"/>
      <c r="O866" s="195"/>
      <c r="P866" s="195"/>
      <c r="Q866" s="54"/>
      <c r="R866" s="196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  <c r="DK866" s="54"/>
    </row>
    <row r="867" customFormat="false" ht="11.25" hidden="false" customHeight="true" outlineLevel="0" collapsed="false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L867" s="54"/>
      <c r="M867" s="54"/>
      <c r="N867" s="195"/>
      <c r="O867" s="195"/>
      <c r="P867" s="195"/>
      <c r="Q867" s="54"/>
      <c r="R867" s="196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  <c r="DK867" s="54"/>
    </row>
    <row r="868" customFormat="false" ht="11.25" hidden="false" customHeight="true" outlineLevel="0" collapsed="false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L868" s="54"/>
      <c r="M868" s="54"/>
      <c r="N868" s="195"/>
      <c r="O868" s="195"/>
      <c r="P868" s="195"/>
      <c r="Q868" s="54"/>
      <c r="R868" s="196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  <c r="DK868" s="54"/>
    </row>
    <row r="869" customFormat="false" ht="11.25" hidden="false" customHeight="true" outlineLevel="0" collapsed="false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L869" s="54"/>
      <c r="M869" s="54"/>
      <c r="N869" s="195"/>
      <c r="O869" s="195"/>
      <c r="P869" s="195"/>
      <c r="Q869" s="54"/>
      <c r="R869" s="196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  <c r="DK869" s="54"/>
    </row>
    <row r="870" customFormat="false" ht="11.25" hidden="false" customHeight="true" outlineLevel="0" collapsed="false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L870" s="54"/>
      <c r="M870" s="54"/>
      <c r="N870" s="195"/>
      <c r="O870" s="195"/>
      <c r="P870" s="195"/>
      <c r="Q870" s="54"/>
      <c r="R870" s="196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</row>
    <row r="871" customFormat="false" ht="11.25" hidden="false" customHeight="true" outlineLevel="0" collapsed="false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L871" s="54"/>
      <c r="M871" s="54"/>
      <c r="N871" s="195"/>
      <c r="O871" s="195"/>
      <c r="P871" s="195"/>
      <c r="Q871" s="54"/>
      <c r="R871" s="196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  <c r="DK871" s="54"/>
    </row>
    <row r="872" customFormat="false" ht="11.25" hidden="false" customHeight="true" outlineLevel="0" collapsed="false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L872" s="54"/>
      <c r="M872" s="54"/>
      <c r="N872" s="195"/>
      <c r="O872" s="195"/>
      <c r="P872" s="195"/>
      <c r="Q872" s="54"/>
      <c r="R872" s="196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  <c r="DK872" s="54"/>
    </row>
    <row r="873" customFormat="false" ht="11.25" hidden="false" customHeight="true" outlineLevel="0" collapsed="false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L873" s="54"/>
      <c r="M873" s="54"/>
      <c r="N873" s="195"/>
      <c r="O873" s="195"/>
      <c r="P873" s="195"/>
      <c r="Q873" s="54"/>
      <c r="R873" s="196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  <c r="DK873" s="54"/>
    </row>
    <row r="874" customFormat="false" ht="11.25" hidden="false" customHeight="true" outlineLevel="0" collapsed="false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L874" s="54"/>
      <c r="M874" s="54"/>
      <c r="N874" s="195"/>
      <c r="O874" s="195"/>
      <c r="P874" s="195"/>
      <c r="Q874" s="54"/>
      <c r="R874" s="196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</row>
    <row r="875" customFormat="false" ht="11.25" hidden="false" customHeight="true" outlineLevel="0" collapsed="false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L875" s="54"/>
      <c r="M875" s="54"/>
      <c r="N875" s="195"/>
      <c r="O875" s="195"/>
      <c r="P875" s="195"/>
      <c r="Q875" s="54"/>
      <c r="R875" s="196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  <c r="DK875" s="54"/>
    </row>
    <row r="876" customFormat="false" ht="11.25" hidden="false" customHeight="true" outlineLevel="0" collapsed="false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L876" s="54"/>
      <c r="M876" s="54"/>
      <c r="N876" s="195"/>
      <c r="O876" s="195"/>
      <c r="P876" s="195"/>
      <c r="Q876" s="54"/>
      <c r="R876" s="196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  <c r="DK876" s="54"/>
    </row>
    <row r="877" customFormat="false" ht="11.25" hidden="false" customHeight="true" outlineLevel="0" collapsed="false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L877" s="54"/>
      <c r="M877" s="54"/>
      <c r="N877" s="195"/>
      <c r="O877" s="195"/>
      <c r="P877" s="195"/>
      <c r="Q877" s="54"/>
      <c r="R877" s="196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  <c r="DK877" s="54"/>
    </row>
    <row r="878" customFormat="false" ht="11.25" hidden="false" customHeight="true" outlineLevel="0" collapsed="false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L878" s="54"/>
      <c r="M878" s="54"/>
      <c r="N878" s="195"/>
      <c r="O878" s="195"/>
      <c r="P878" s="195"/>
      <c r="Q878" s="54"/>
      <c r="R878" s="196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</row>
    <row r="879" customFormat="false" ht="11.25" hidden="false" customHeight="true" outlineLevel="0" collapsed="false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L879" s="54"/>
      <c r="M879" s="54"/>
      <c r="N879" s="195"/>
      <c r="O879" s="195"/>
      <c r="P879" s="195"/>
      <c r="Q879" s="54"/>
      <c r="R879" s="196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  <c r="DK879" s="54"/>
    </row>
    <row r="880" customFormat="false" ht="11.25" hidden="false" customHeight="true" outlineLevel="0" collapsed="false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L880" s="54"/>
      <c r="M880" s="54"/>
      <c r="N880" s="195"/>
      <c r="O880" s="195"/>
      <c r="P880" s="195"/>
      <c r="Q880" s="54"/>
      <c r="R880" s="196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  <c r="DK880" s="54"/>
    </row>
    <row r="881" customFormat="false" ht="11.25" hidden="false" customHeight="true" outlineLevel="0" collapsed="false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L881" s="54"/>
      <c r="M881" s="54"/>
      <c r="N881" s="195"/>
      <c r="O881" s="195"/>
      <c r="P881" s="195"/>
      <c r="Q881" s="54"/>
      <c r="R881" s="196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  <c r="DK881" s="54"/>
    </row>
    <row r="882" customFormat="false" ht="11.25" hidden="false" customHeight="true" outlineLevel="0" collapsed="false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L882" s="54"/>
      <c r="M882" s="54"/>
      <c r="N882" s="195"/>
      <c r="O882" s="195"/>
      <c r="P882" s="195"/>
      <c r="Q882" s="54"/>
      <c r="R882" s="196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</row>
    <row r="883" customFormat="false" ht="11.25" hidden="false" customHeight="true" outlineLevel="0" collapsed="false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L883" s="54"/>
      <c r="M883" s="54"/>
      <c r="N883" s="195"/>
      <c r="O883" s="195"/>
      <c r="P883" s="195"/>
      <c r="Q883" s="54"/>
      <c r="R883" s="196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  <c r="DK883" s="54"/>
    </row>
    <row r="884" customFormat="false" ht="11.25" hidden="false" customHeight="true" outlineLevel="0" collapsed="false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L884" s="54"/>
      <c r="M884" s="54"/>
      <c r="N884" s="195"/>
      <c r="O884" s="195"/>
      <c r="P884" s="195"/>
      <c r="Q884" s="54"/>
      <c r="R884" s="196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  <c r="DK884" s="54"/>
    </row>
    <row r="885" customFormat="false" ht="11.25" hidden="false" customHeight="true" outlineLevel="0" collapsed="false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L885" s="54"/>
      <c r="M885" s="54"/>
      <c r="N885" s="195"/>
      <c r="O885" s="195"/>
      <c r="P885" s="195"/>
      <c r="Q885" s="54"/>
      <c r="R885" s="196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  <c r="DK885" s="54"/>
    </row>
    <row r="886" customFormat="false" ht="11.25" hidden="false" customHeight="true" outlineLevel="0" collapsed="false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L886" s="54"/>
      <c r="M886" s="54"/>
      <c r="N886" s="195"/>
      <c r="O886" s="195"/>
      <c r="P886" s="195"/>
      <c r="Q886" s="54"/>
      <c r="R886" s="196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</row>
    <row r="887" customFormat="false" ht="11.25" hidden="false" customHeight="true" outlineLevel="0" collapsed="false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L887" s="54"/>
      <c r="M887" s="54"/>
      <c r="N887" s="195"/>
      <c r="O887" s="195"/>
      <c r="P887" s="195"/>
      <c r="Q887" s="54"/>
      <c r="R887" s="196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  <c r="DK887" s="54"/>
    </row>
    <row r="888" customFormat="false" ht="11.25" hidden="false" customHeight="true" outlineLevel="0" collapsed="false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L888" s="54"/>
      <c r="M888" s="54"/>
      <c r="N888" s="195"/>
      <c r="O888" s="195"/>
      <c r="P888" s="195"/>
      <c r="Q888" s="54"/>
      <c r="R888" s="196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  <c r="DK888" s="54"/>
    </row>
    <row r="889" customFormat="false" ht="11.25" hidden="false" customHeight="true" outlineLevel="0" collapsed="false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L889" s="54"/>
      <c r="M889" s="54"/>
      <c r="N889" s="195"/>
      <c r="O889" s="195"/>
      <c r="P889" s="195"/>
      <c r="Q889" s="54"/>
      <c r="R889" s="196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  <c r="DK889" s="54"/>
    </row>
    <row r="890" customFormat="false" ht="11.25" hidden="false" customHeight="true" outlineLevel="0" collapsed="false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L890" s="54"/>
      <c r="M890" s="54"/>
      <c r="N890" s="195"/>
      <c r="O890" s="195"/>
      <c r="P890" s="195"/>
      <c r="Q890" s="54"/>
      <c r="R890" s="196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  <c r="DK890" s="54"/>
    </row>
    <row r="891" customFormat="false" ht="11.25" hidden="false" customHeight="true" outlineLevel="0" collapsed="false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L891" s="54"/>
      <c r="M891" s="54"/>
      <c r="N891" s="195"/>
      <c r="O891" s="195"/>
      <c r="P891" s="195"/>
      <c r="Q891" s="54"/>
      <c r="R891" s="196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  <c r="DK891" s="54"/>
    </row>
    <row r="892" customFormat="false" ht="11.25" hidden="false" customHeight="true" outlineLevel="0" collapsed="false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L892" s="54"/>
      <c r="M892" s="54"/>
      <c r="N892" s="195"/>
      <c r="O892" s="195"/>
      <c r="P892" s="195"/>
      <c r="Q892" s="54"/>
      <c r="R892" s="196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</row>
    <row r="893" customFormat="false" ht="11.25" hidden="false" customHeight="true" outlineLevel="0" collapsed="false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L893" s="54"/>
      <c r="M893" s="54"/>
      <c r="N893" s="195"/>
      <c r="O893" s="195"/>
      <c r="P893" s="195"/>
      <c r="Q893" s="54"/>
      <c r="R893" s="196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  <c r="DK893" s="54"/>
    </row>
    <row r="894" customFormat="false" ht="11.25" hidden="false" customHeight="true" outlineLevel="0" collapsed="false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L894" s="54"/>
      <c r="M894" s="54"/>
      <c r="N894" s="195"/>
      <c r="O894" s="195"/>
      <c r="P894" s="195"/>
      <c r="Q894" s="54"/>
      <c r="R894" s="196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  <c r="DK894" s="54"/>
    </row>
    <row r="895" customFormat="false" ht="11.25" hidden="false" customHeight="true" outlineLevel="0" collapsed="false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L895" s="54"/>
      <c r="M895" s="54"/>
      <c r="N895" s="195"/>
      <c r="O895" s="195"/>
      <c r="P895" s="195"/>
      <c r="Q895" s="54"/>
      <c r="R895" s="196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  <c r="DK895" s="54"/>
    </row>
    <row r="896" customFormat="false" ht="11.25" hidden="false" customHeight="true" outlineLevel="0" collapsed="false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L896" s="54"/>
      <c r="M896" s="54"/>
      <c r="N896" s="195"/>
      <c r="O896" s="195"/>
      <c r="P896" s="195"/>
      <c r="Q896" s="54"/>
      <c r="R896" s="196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</row>
    <row r="897" customFormat="false" ht="11.25" hidden="false" customHeight="true" outlineLevel="0" collapsed="false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L897" s="54"/>
      <c r="M897" s="54"/>
      <c r="N897" s="195"/>
      <c r="O897" s="195"/>
      <c r="P897" s="195"/>
      <c r="Q897" s="54"/>
      <c r="R897" s="196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  <c r="DK897" s="54"/>
    </row>
    <row r="898" customFormat="false" ht="11.25" hidden="false" customHeight="true" outlineLevel="0" collapsed="false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L898" s="54"/>
      <c r="M898" s="54"/>
      <c r="N898" s="195"/>
      <c r="O898" s="195"/>
      <c r="P898" s="195"/>
      <c r="Q898" s="54"/>
      <c r="R898" s="196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  <c r="DK898" s="54"/>
    </row>
    <row r="899" customFormat="false" ht="11.25" hidden="false" customHeight="true" outlineLevel="0" collapsed="false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L899" s="54"/>
      <c r="M899" s="54"/>
      <c r="N899" s="195"/>
      <c r="O899" s="195"/>
      <c r="P899" s="195"/>
      <c r="Q899" s="54"/>
      <c r="R899" s="196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  <c r="DK899" s="54"/>
    </row>
    <row r="900" customFormat="false" ht="11.25" hidden="false" customHeight="true" outlineLevel="0" collapsed="false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L900" s="54"/>
      <c r="M900" s="54"/>
      <c r="N900" s="195"/>
      <c r="O900" s="195"/>
      <c r="P900" s="195"/>
      <c r="Q900" s="54"/>
      <c r="R900" s="196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  <c r="DK900" s="54"/>
    </row>
    <row r="901" customFormat="false" ht="11.25" hidden="false" customHeight="true" outlineLevel="0" collapsed="false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L901" s="54"/>
      <c r="M901" s="54"/>
      <c r="N901" s="195"/>
      <c r="O901" s="195"/>
      <c r="P901" s="195"/>
      <c r="Q901" s="54"/>
      <c r="R901" s="196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  <c r="DK901" s="54"/>
    </row>
    <row r="902" customFormat="false" ht="11.25" hidden="false" customHeight="true" outlineLevel="0" collapsed="false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L902" s="54"/>
      <c r="M902" s="54"/>
      <c r="N902" s="195"/>
      <c r="O902" s="195"/>
      <c r="P902" s="195"/>
      <c r="Q902" s="54"/>
      <c r="R902" s="196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  <c r="DK902" s="54"/>
    </row>
    <row r="903" customFormat="false" ht="11.25" hidden="false" customHeight="true" outlineLevel="0" collapsed="false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L903" s="54"/>
      <c r="M903" s="54"/>
      <c r="N903" s="195"/>
      <c r="O903" s="195"/>
      <c r="P903" s="195"/>
      <c r="Q903" s="54"/>
      <c r="R903" s="196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  <c r="DK903" s="54"/>
    </row>
    <row r="904" customFormat="false" ht="11.25" hidden="false" customHeight="true" outlineLevel="0" collapsed="false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L904" s="54"/>
      <c r="M904" s="54"/>
      <c r="N904" s="195"/>
      <c r="O904" s="195"/>
      <c r="P904" s="195"/>
      <c r="Q904" s="54"/>
      <c r="R904" s="196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  <c r="DK904" s="54"/>
    </row>
    <row r="905" customFormat="false" ht="11.25" hidden="false" customHeight="true" outlineLevel="0" collapsed="false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L905" s="54"/>
      <c r="M905" s="54"/>
      <c r="N905" s="195"/>
      <c r="O905" s="195"/>
      <c r="P905" s="195"/>
      <c r="Q905" s="54"/>
      <c r="R905" s="196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  <c r="DK905" s="54"/>
    </row>
    <row r="906" customFormat="false" ht="11.25" hidden="false" customHeight="true" outlineLevel="0" collapsed="false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L906" s="54"/>
      <c r="M906" s="54"/>
      <c r="N906" s="195"/>
      <c r="O906" s="195"/>
      <c r="P906" s="195"/>
      <c r="Q906" s="54"/>
      <c r="R906" s="196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  <c r="DK906" s="54"/>
    </row>
    <row r="907" customFormat="false" ht="11.25" hidden="false" customHeight="true" outlineLevel="0" collapsed="false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L907" s="54"/>
      <c r="M907" s="54"/>
      <c r="N907" s="195"/>
      <c r="O907" s="195"/>
      <c r="P907" s="195"/>
      <c r="Q907" s="54"/>
      <c r="R907" s="196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  <c r="DK907" s="54"/>
    </row>
    <row r="908" customFormat="false" ht="11.25" hidden="false" customHeight="true" outlineLevel="0" collapsed="false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L908" s="54"/>
      <c r="M908" s="54"/>
      <c r="N908" s="195"/>
      <c r="O908" s="195"/>
      <c r="P908" s="195"/>
      <c r="Q908" s="54"/>
      <c r="R908" s="196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</row>
    <row r="909" customFormat="false" ht="11.25" hidden="false" customHeight="true" outlineLevel="0" collapsed="false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L909" s="54"/>
      <c r="M909" s="54"/>
      <c r="N909" s="195"/>
      <c r="O909" s="195"/>
      <c r="P909" s="195"/>
      <c r="Q909" s="54"/>
      <c r="R909" s="196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  <c r="DK909" s="54"/>
    </row>
    <row r="910" customFormat="false" ht="11.25" hidden="false" customHeight="true" outlineLevel="0" collapsed="false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L910" s="54"/>
      <c r="M910" s="54"/>
      <c r="N910" s="195"/>
      <c r="O910" s="195"/>
      <c r="P910" s="195"/>
      <c r="Q910" s="54"/>
      <c r="R910" s="196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  <c r="DK910" s="54"/>
    </row>
    <row r="911" customFormat="false" ht="11.25" hidden="false" customHeight="true" outlineLevel="0" collapsed="false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L911" s="54"/>
      <c r="M911" s="54"/>
      <c r="N911" s="195"/>
      <c r="O911" s="195"/>
      <c r="P911" s="195"/>
      <c r="Q911" s="54"/>
      <c r="R911" s="196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  <c r="DK911" s="54"/>
    </row>
    <row r="912" customFormat="false" ht="11.25" hidden="false" customHeight="true" outlineLevel="0" collapsed="false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L912" s="54"/>
      <c r="M912" s="54"/>
      <c r="N912" s="195"/>
      <c r="O912" s="195"/>
      <c r="P912" s="195"/>
      <c r="Q912" s="54"/>
      <c r="R912" s="196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</row>
    <row r="913" customFormat="false" ht="11.25" hidden="false" customHeight="true" outlineLevel="0" collapsed="false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L913" s="54"/>
      <c r="M913" s="54"/>
      <c r="N913" s="195"/>
      <c r="O913" s="195"/>
      <c r="P913" s="195"/>
      <c r="Q913" s="54"/>
      <c r="R913" s="196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  <c r="DK913" s="54"/>
    </row>
    <row r="914" customFormat="false" ht="11.25" hidden="false" customHeight="true" outlineLevel="0" collapsed="false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L914" s="54"/>
      <c r="M914" s="54"/>
      <c r="N914" s="195"/>
      <c r="O914" s="195"/>
      <c r="P914" s="195"/>
      <c r="Q914" s="54"/>
      <c r="R914" s="196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  <c r="DK914" s="54"/>
    </row>
    <row r="915" customFormat="false" ht="11.25" hidden="false" customHeight="true" outlineLevel="0" collapsed="false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L915" s="54"/>
      <c r="M915" s="54"/>
      <c r="N915" s="195"/>
      <c r="O915" s="195"/>
      <c r="P915" s="195"/>
      <c r="Q915" s="54"/>
      <c r="R915" s="196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  <c r="DK915" s="54"/>
    </row>
    <row r="916" customFormat="false" ht="11.25" hidden="false" customHeight="true" outlineLevel="0" collapsed="false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L916" s="54"/>
      <c r="M916" s="54"/>
      <c r="N916" s="195"/>
      <c r="O916" s="195"/>
      <c r="P916" s="195"/>
      <c r="Q916" s="54"/>
      <c r="R916" s="196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</row>
    <row r="917" customFormat="false" ht="11.25" hidden="false" customHeight="true" outlineLevel="0" collapsed="false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L917" s="54"/>
      <c r="M917" s="54"/>
      <c r="N917" s="195"/>
      <c r="O917" s="195"/>
      <c r="P917" s="195"/>
      <c r="Q917" s="54"/>
      <c r="R917" s="196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  <c r="DK917" s="54"/>
    </row>
    <row r="918" customFormat="false" ht="11.25" hidden="false" customHeight="true" outlineLevel="0" collapsed="false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L918" s="54"/>
      <c r="M918" s="54"/>
      <c r="N918" s="195"/>
      <c r="O918" s="195"/>
      <c r="P918" s="195"/>
      <c r="Q918" s="54"/>
      <c r="R918" s="196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  <c r="DK918" s="54"/>
    </row>
    <row r="919" customFormat="false" ht="11.25" hidden="false" customHeight="true" outlineLevel="0" collapsed="false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L919" s="54"/>
      <c r="M919" s="54"/>
      <c r="N919" s="195"/>
      <c r="O919" s="195"/>
      <c r="P919" s="195"/>
      <c r="Q919" s="54"/>
      <c r="R919" s="196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  <c r="DK919" s="54"/>
    </row>
    <row r="920" customFormat="false" ht="11.25" hidden="false" customHeight="true" outlineLevel="0" collapsed="false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L920" s="54"/>
      <c r="M920" s="54"/>
      <c r="N920" s="195"/>
      <c r="O920" s="195"/>
      <c r="P920" s="195"/>
      <c r="Q920" s="54"/>
      <c r="R920" s="196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</row>
    <row r="921" customFormat="false" ht="11.25" hidden="false" customHeight="true" outlineLevel="0" collapsed="false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L921" s="54"/>
      <c r="M921" s="54"/>
      <c r="N921" s="195"/>
      <c r="O921" s="195"/>
      <c r="P921" s="195"/>
      <c r="Q921" s="54"/>
      <c r="R921" s="196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  <c r="DK921" s="54"/>
    </row>
    <row r="922" customFormat="false" ht="11.25" hidden="false" customHeight="true" outlineLevel="0" collapsed="false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L922" s="54"/>
      <c r="M922" s="54"/>
      <c r="N922" s="195"/>
      <c r="O922" s="195"/>
      <c r="P922" s="195"/>
      <c r="Q922" s="54"/>
      <c r="R922" s="196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  <c r="DK922" s="54"/>
    </row>
    <row r="923" customFormat="false" ht="11.25" hidden="false" customHeight="true" outlineLevel="0" collapsed="false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L923" s="54"/>
      <c r="M923" s="54"/>
      <c r="N923" s="195"/>
      <c r="O923" s="195"/>
      <c r="P923" s="195"/>
      <c r="Q923" s="54"/>
      <c r="R923" s="196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  <c r="DK923" s="54"/>
    </row>
    <row r="924" customFormat="false" ht="11.25" hidden="false" customHeight="true" outlineLevel="0" collapsed="false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L924" s="54"/>
      <c r="M924" s="54"/>
      <c r="N924" s="195"/>
      <c r="O924" s="195"/>
      <c r="P924" s="195"/>
      <c r="Q924" s="54"/>
      <c r="R924" s="196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</row>
    <row r="925" customFormat="false" ht="11.25" hidden="false" customHeight="true" outlineLevel="0" collapsed="false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L925" s="54"/>
      <c r="M925" s="54"/>
      <c r="N925" s="195"/>
      <c r="O925" s="195"/>
      <c r="P925" s="195"/>
      <c r="Q925" s="54"/>
      <c r="R925" s="196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  <c r="DK925" s="54"/>
    </row>
    <row r="926" customFormat="false" ht="11.25" hidden="false" customHeight="true" outlineLevel="0" collapsed="false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L926" s="54"/>
      <c r="M926" s="54"/>
      <c r="N926" s="195"/>
      <c r="O926" s="195"/>
      <c r="P926" s="195"/>
      <c r="Q926" s="54"/>
      <c r="R926" s="196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  <c r="DK926" s="54"/>
    </row>
    <row r="927" customFormat="false" ht="11.25" hidden="false" customHeight="true" outlineLevel="0" collapsed="false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L927" s="54"/>
      <c r="M927" s="54"/>
      <c r="N927" s="195"/>
      <c r="O927" s="195"/>
      <c r="P927" s="195"/>
      <c r="Q927" s="54"/>
      <c r="R927" s="196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  <c r="DK927" s="54"/>
    </row>
    <row r="928" customFormat="false" ht="11.25" hidden="false" customHeight="true" outlineLevel="0" collapsed="false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L928" s="54"/>
      <c r="M928" s="54"/>
      <c r="N928" s="195"/>
      <c r="O928" s="195"/>
      <c r="P928" s="195"/>
      <c r="Q928" s="54"/>
      <c r="R928" s="196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</row>
    <row r="929" customFormat="false" ht="11.25" hidden="false" customHeight="true" outlineLevel="0" collapsed="false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L929" s="54"/>
      <c r="M929" s="54"/>
      <c r="N929" s="195"/>
      <c r="O929" s="195"/>
      <c r="P929" s="195"/>
      <c r="Q929" s="54"/>
      <c r="R929" s="196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  <c r="DK929" s="54"/>
    </row>
    <row r="930" customFormat="false" ht="11.25" hidden="false" customHeight="true" outlineLevel="0" collapsed="false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L930" s="54"/>
      <c r="M930" s="54"/>
      <c r="N930" s="195"/>
      <c r="O930" s="195"/>
      <c r="P930" s="195"/>
      <c r="Q930" s="54"/>
      <c r="R930" s="196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  <c r="DK930" s="54"/>
    </row>
    <row r="931" customFormat="false" ht="11.25" hidden="false" customHeight="true" outlineLevel="0" collapsed="false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L931" s="54"/>
      <c r="M931" s="54"/>
      <c r="N931" s="195"/>
      <c r="O931" s="195"/>
      <c r="P931" s="195"/>
      <c r="Q931" s="54"/>
      <c r="R931" s="196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  <c r="DK931" s="54"/>
    </row>
    <row r="932" customFormat="false" ht="11.25" hidden="false" customHeight="true" outlineLevel="0" collapsed="false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L932" s="54"/>
      <c r="M932" s="54"/>
      <c r="N932" s="195"/>
      <c r="O932" s="195"/>
      <c r="P932" s="195"/>
      <c r="Q932" s="54"/>
      <c r="R932" s="196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</row>
    <row r="933" customFormat="false" ht="11.25" hidden="false" customHeight="true" outlineLevel="0" collapsed="false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L933" s="54"/>
      <c r="M933" s="54"/>
      <c r="N933" s="195"/>
      <c r="O933" s="195"/>
      <c r="P933" s="195"/>
      <c r="Q933" s="54"/>
      <c r="R933" s="196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  <c r="DK933" s="54"/>
    </row>
    <row r="934" customFormat="false" ht="11.25" hidden="false" customHeight="true" outlineLevel="0" collapsed="false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L934" s="54"/>
      <c r="M934" s="54"/>
      <c r="N934" s="195"/>
      <c r="O934" s="195"/>
      <c r="P934" s="195"/>
      <c r="Q934" s="54"/>
      <c r="R934" s="196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  <c r="DK934" s="54"/>
    </row>
    <row r="935" customFormat="false" ht="11.25" hidden="false" customHeight="true" outlineLevel="0" collapsed="false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L935" s="54"/>
      <c r="M935" s="54"/>
      <c r="N935" s="195"/>
      <c r="O935" s="195"/>
      <c r="P935" s="195"/>
      <c r="Q935" s="54"/>
      <c r="R935" s="196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  <c r="DK935" s="54"/>
    </row>
    <row r="936" customFormat="false" ht="11.25" hidden="false" customHeight="true" outlineLevel="0" collapsed="false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L936" s="54"/>
      <c r="M936" s="54"/>
      <c r="N936" s="195"/>
      <c r="O936" s="195"/>
      <c r="P936" s="195"/>
      <c r="Q936" s="54"/>
      <c r="R936" s="196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</row>
    <row r="937" customFormat="false" ht="11.25" hidden="false" customHeight="true" outlineLevel="0" collapsed="false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L937" s="54"/>
      <c r="M937" s="54"/>
      <c r="N937" s="195"/>
      <c r="O937" s="195"/>
      <c r="P937" s="195"/>
      <c r="Q937" s="54"/>
      <c r="R937" s="196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  <c r="DK937" s="54"/>
    </row>
    <row r="938" customFormat="false" ht="11.25" hidden="false" customHeight="true" outlineLevel="0" collapsed="false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L938" s="54"/>
      <c r="M938" s="54"/>
      <c r="N938" s="195"/>
      <c r="O938" s="195"/>
      <c r="P938" s="195"/>
      <c r="Q938" s="54"/>
      <c r="R938" s="196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  <c r="DK938" s="54"/>
    </row>
    <row r="939" customFormat="false" ht="11.25" hidden="false" customHeight="true" outlineLevel="0" collapsed="false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L939" s="54"/>
      <c r="M939" s="54"/>
      <c r="N939" s="195"/>
      <c r="O939" s="195"/>
      <c r="P939" s="195"/>
      <c r="Q939" s="54"/>
      <c r="R939" s="196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  <c r="DK939" s="54"/>
    </row>
    <row r="940" customFormat="false" ht="11.25" hidden="false" customHeight="true" outlineLevel="0" collapsed="false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L940" s="54"/>
      <c r="M940" s="54"/>
      <c r="N940" s="195"/>
      <c r="O940" s="195"/>
      <c r="P940" s="195"/>
      <c r="Q940" s="54"/>
      <c r="R940" s="196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</row>
    <row r="941" customFormat="false" ht="11.25" hidden="false" customHeight="true" outlineLevel="0" collapsed="false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L941" s="54"/>
      <c r="M941" s="54"/>
      <c r="N941" s="195"/>
      <c r="O941" s="195"/>
      <c r="P941" s="195"/>
      <c r="Q941" s="54"/>
      <c r="R941" s="196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  <c r="DK941" s="54"/>
    </row>
    <row r="942" customFormat="false" ht="11.25" hidden="false" customHeight="true" outlineLevel="0" collapsed="false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L942" s="54"/>
      <c r="M942" s="54"/>
      <c r="N942" s="195"/>
      <c r="O942" s="195"/>
      <c r="P942" s="195"/>
      <c r="Q942" s="54"/>
      <c r="R942" s="196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  <c r="DK942" s="54"/>
    </row>
    <row r="943" customFormat="false" ht="11.25" hidden="false" customHeight="true" outlineLevel="0" collapsed="false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L943" s="54"/>
      <c r="M943" s="54"/>
      <c r="N943" s="195"/>
      <c r="O943" s="195"/>
      <c r="P943" s="195"/>
      <c r="Q943" s="54"/>
      <c r="R943" s="196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  <c r="DK943" s="54"/>
    </row>
    <row r="944" customFormat="false" ht="11.25" hidden="false" customHeight="true" outlineLevel="0" collapsed="false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L944" s="54"/>
      <c r="M944" s="54"/>
      <c r="N944" s="195"/>
      <c r="O944" s="195"/>
      <c r="P944" s="195"/>
      <c r="Q944" s="54"/>
      <c r="R944" s="196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</row>
    <row r="945" customFormat="false" ht="11.25" hidden="false" customHeight="true" outlineLevel="0" collapsed="false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L945" s="54"/>
      <c r="M945" s="54"/>
      <c r="N945" s="195"/>
      <c r="O945" s="195"/>
      <c r="P945" s="195"/>
      <c r="Q945" s="54"/>
      <c r="R945" s="196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  <c r="DK945" s="54"/>
    </row>
    <row r="946" customFormat="false" ht="11.25" hidden="false" customHeight="true" outlineLevel="0" collapsed="false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L946" s="54"/>
      <c r="M946" s="54"/>
      <c r="N946" s="195"/>
      <c r="O946" s="195"/>
      <c r="P946" s="195"/>
      <c r="Q946" s="54"/>
      <c r="R946" s="196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  <c r="DK946" s="54"/>
    </row>
    <row r="947" customFormat="false" ht="11.25" hidden="false" customHeight="true" outlineLevel="0" collapsed="false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L947" s="54"/>
      <c r="M947" s="54"/>
      <c r="N947" s="195"/>
      <c r="O947" s="195"/>
      <c r="P947" s="195"/>
      <c r="Q947" s="54"/>
      <c r="R947" s="196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  <c r="DK947" s="54"/>
    </row>
    <row r="948" customFormat="false" ht="11.25" hidden="false" customHeight="true" outlineLevel="0" collapsed="false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L948" s="54"/>
      <c r="M948" s="54"/>
      <c r="N948" s="195"/>
      <c r="O948" s="195"/>
      <c r="P948" s="195"/>
      <c r="Q948" s="54"/>
      <c r="R948" s="196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</row>
    <row r="949" customFormat="false" ht="11.25" hidden="false" customHeight="true" outlineLevel="0" collapsed="false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L949" s="54"/>
      <c r="M949" s="54"/>
      <c r="N949" s="195"/>
      <c r="O949" s="195"/>
      <c r="P949" s="195"/>
      <c r="Q949" s="54"/>
      <c r="R949" s="196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  <c r="DK949" s="54"/>
    </row>
    <row r="950" customFormat="false" ht="11.25" hidden="false" customHeight="true" outlineLevel="0" collapsed="false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L950" s="54"/>
      <c r="M950" s="54"/>
      <c r="N950" s="195"/>
      <c r="O950" s="195"/>
      <c r="P950" s="195"/>
      <c r="Q950" s="54"/>
      <c r="R950" s="196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  <c r="DK950" s="54"/>
    </row>
    <row r="951" customFormat="false" ht="11.25" hidden="false" customHeight="true" outlineLevel="0" collapsed="false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L951" s="54"/>
      <c r="M951" s="54"/>
      <c r="N951" s="195"/>
      <c r="O951" s="195"/>
      <c r="P951" s="195"/>
      <c r="Q951" s="54"/>
      <c r="R951" s="196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  <c r="DK951" s="54"/>
    </row>
    <row r="952" customFormat="false" ht="11.25" hidden="false" customHeight="true" outlineLevel="0" collapsed="false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L952" s="54"/>
      <c r="M952" s="54"/>
      <c r="N952" s="195"/>
      <c r="O952" s="195"/>
      <c r="P952" s="195"/>
      <c r="Q952" s="54"/>
      <c r="R952" s="196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</row>
    <row r="953" customFormat="false" ht="11.25" hidden="false" customHeight="true" outlineLevel="0" collapsed="false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L953" s="54"/>
      <c r="M953" s="54"/>
      <c r="N953" s="195"/>
      <c r="O953" s="195"/>
      <c r="P953" s="195"/>
      <c r="Q953" s="54"/>
      <c r="R953" s="196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  <c r="DK953" s="54"/>
    </row>
    <row r="954" customFormat="false" ht="11.25" hidden="false" customHeight="true" outlineLevel="0" collapsed="false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L954" s="54"/>
      <c r="M954" s="54"/>
      <c r="N954" s="195"/>
      <c r="O954" s="195"/>
      <c r="P954" s="195"/>
      <c r="Q954" s="54"/>
      <c r="R954" s="196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  <c r="DK954" s="54"/>
    </row>
    <row r="955" customFormat="false" ht="11.25" hidden="false" customHeight="true" outlineLevel="0" collapsed="false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L955" s="54"/>
      <c r="M955" s="54"/>
      <c r="N955" s="195"/>
      <c r="O955" s="195"/>
      <c r="P955" s="195"/>
      <c r="Q955" s="54"/>
      <c r="R955" s="196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  <c r="DK955" s="54"/>
    </row>
    <row r="956" customFormat="false" ht="11.25" hidden="false" customHeight="true" outlineLevel="0" collapsed="false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L956" s="54"/>
      <c r="M956" s="54"/>
      <c r="N956" s="195"/>
      <c r="O956" s="195"/>
      <c r="P956" s="195"/>
      <c r="Q956" s="54"/>
      <c r="R956" s="196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</row>
    <row r="957" customFormat="false" ht="11.25" hidden="false" customHeight="true" outlineLevel="0" collapsed="false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L957" s="54"/>
      <c r="M957" s="54"/>
      <c r="N957" s="195"/>
      <c r="O957" s="195"/>
      <c r="P957" s="195"/>
      <c r="Q957" s="54"/>
      <c r="R957" s="196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  <c r="DK957" s="54"/>
    </row>
    <row r="958" customFormat="false" ht="11.25" hidden="false" customHeight="true" outlineLevel="0" collapsed="false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L958" s="54"/>
      <c r="M958" s="54"/>
      <c r="N958" s="195"/>
      <c r="O958" s="195"/>
      <c r="P958" s="195"/>
      <c r="Q958" s="54"/>
      <c r="R958" s="196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  <c r="DK958" s="54"/>
    </row>
    <row r="959" customFormat="false" ht="11.25" hidden="false" customHeight="true" outlineLevel="0" collapsed="false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L959" s="54"/>
      <c r="M959" s="54"/>
      <c r="N959" s="195"/>
      <c r="O959" s="195"/>
      <c r="P959" s="195"/>
      <c r="Q959" s="54"/>
      <c r="R959" s="196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  <c r="DK959" s="54"/>
    </row>
    <row r="960" customFormat="false" ht="11.25" hidden="false" customHeight="true" outlineLevel="0" collapsed="false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L960" s="54"/>
      <c r="M960" s="54"/>
      <c r="N960" s="195"/>
      <c r="O960" s="195"/>
      <c r="P960" s="195"/>
      <c r="Q960" s="54"/>
      <c r="R960" s="196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</row>
    <row r="961" customFormat="false" ht="11.25" hidden="false" customHeight="true" outlineLevel="0" collapsed="false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L961" s="54"/>
      <c r="M961" s="54"/>
      <c r="N961" s="195"/>
      <c r="O961" s="195"/>
      <c r="P961" s="195"/>
      <c r="Q961" s="54"/>
      <c r="R961" s="196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  <c r="DK961" s="54"/>
    </row>
    <row r="962" customFormat="false" ht="11.25" hidden="false" customHeight="true" outlineLevel="0" collapsed="false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L962" s="54"/>
      <c r="M962" s="54"/>
      <c r="N962" s="195"/>
      <c r="O962" s="195"/>
      <c r="P962" s="195"/>
      <c r="Q962" s="54"/>
      <c r="R962" s="196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  <c r="DK962" s="54"/>
    </row>
    <row r="963" customFormat="false" ht="11.25" hidden="false" customHeight="true" outlineLevel="0" collapsed="false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L963" s="54"/>
      <c r="M963" s="54"/>
      <c r="N963" s="195"/>
      <c r="O963" s="195"/>
      <c r="P963" s="195"/>
      <c r="Q963" s="54"/>
      <c r="R963" s="196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  <c r="DK963" s="54"/>
    </row>
    <row r="964" customFormat="false" ht="11.25" hidden="false" customHeight="true" outlineLevel="0" collapsed="false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L964" s="54"/>
      <c r="M964" s="54"/>
      <c r="N964" s="195"/>
      <c r="O964" s="195"/>
      <c r="P964" s="195"/>
      <c r="Q964" s="54"/>
      <c r="R964" s="196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</row>
    <row r="965" customFormat="false" ht="11.25" hidden="false" customHeight="true" outlineLevel="0" collapsed="false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L965" s="54"/>
      <c r="M965" s="54"/>
      <c r="N965" s="195"/>
      <c r="O965" s="195"/>
      <c r="P965" s="195"/>
      <c r="Q965" s="54"/>
      <c r="R965" s="196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  <c r="DK965" s="54"/>
    </row>
    <row r="966" customFormat="false" ht="11.25" hidden="false" customHeight="true" outlineLevel="0" collapsed="false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L966" s="54"/>
      <c r="M966" s="54"/>
      <c r="N966" s="195"/>
      <c r="O966" s="195"/>
      <c r="P966" s="195"/>
      <c r="Q966" s="54"/>
      <c r="R966" s="196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  <c r="DK966" s="54"/>
    </row>
    <row r="967" customFormat="false" ht="11.25" hidden="false" customHeight="true" outlineLevel="0" collapsed="false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L967" s="54"/>
      <c r="M967" s="54"/>
      <c r="N967" s="195"/>
      <c r="O967" s="195"/>
      <c r="P967" s="195"/>
      <c r="Q967" s="54"/>
      <c r="R967" s="196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  <c r="DK967" s="54"/>
    </row>
    <row r="968" customFormat="false" ht="11.25" hidden="false" customHeight="true" outlineLevel="0" collapsed="false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L968" s="54"/>
      <c r="M968" s="54"/>
      <c r="N968" s="195"/>
      <c r="O968" s="195"/>
      <c r="P968" s="195"/>
      <c r="Q968" s="54"/>
      <c r="R968" s="196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</row>
    <row r="969" customFormat="false" ht="11.25" hidden="false" customHeight="true" outlineLevel="0" collapsed="false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L969" s="54"/>
      <c r="M969" s="54"/>
      <c r="N969" s="195"/>
      <c r="O969" s="195"/>
      <c r="P969" s="195"/>
      <c r="Q969" s="54"/>
      <c r="R969" s="196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  <c r="DK969" s="54"/>
    </row>
    <row r="970" customFormat="false" ht="11.25" hidden="false" customHeight="true" outlineLevel="0" collapsed="false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L970" s="54"/>
      <c r="M970" s="54"/>
      <c r="N970" s="195"/>
      <c r="O970" s="195"/>
      <c r="P970" s="195"/>
      <c r="Q970" s="54"/>
      <c r="R970" s="196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  <c r="DK970" s="54"/>
    </row>
    <row r="971" customFormat="false" ht="11.25" hidden="false" customHeight="true" outlineLevel="0" collapsed="false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L971" s="54"/>
      <c r="M971" s="54"/>
      <c r="N971" s="195"/>
      <c r="O971" s="195"/>
      <c r="P971" s="195"/>
      <c r="Q971" s="54"/>
      <c r="R971" s="196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  <c r="DK971" s="54"/>
    </row>
    <row r="972" customFormat="false" ht="11.25" hidden="false" customHeight="true" outlineLevel="0" collapsed="false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L972" s="54"/>
      <c r="M972" s="54"/>
      <c r="N972" s="195"/>
      <c r="O972" s="195"/>
      <c r="P972" s="195"/>
      <c r="Q972" s="54"/>
      <c r="R972" s="196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</row>
    <row r="973" customFormat="false" ht="11.25" hidden="false" customHeight="true" outlineLevel="0" collapsed="false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L973" s="54"/>
      <c r="M973" s="54"/>
      <c r="N973" s="195"/>
      <c r="O973" s="195"/>
      <c r="P973" s="195"/>
      <c r="Q973" s="54"/>
      <c r="R973" s="196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  <c r="DK973" s="54"/>
    </row>
    <row r="974" customFormat="false" ht="11.25" hidden="false" customHeight="true" outlineLevel="0" collapsed="false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L974" s="54"/>
      <c r="M974" s="54"/>
      <c r="N974" s="195"/>
      <c r="O974" s="195"/>
      <c r="P974" s="195"/>
      <c r="Q974" s="54"/>
      <c r="R974" s="196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  <c r="DK974" s="54"/>
    </row>
    <row r="975" customFormat="false" ht="11.25" hidden="false" customHeight="true" outlineLevel="0" collapsed="false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L975" s="54"/>
      <c r="M975" s="54"/>
      <c r="N975" s="195"/>
      <c r="O975" s="195"/>
      <c r="P975" s="195"/>
      <c r="Q975" s="54"/>
      <c r="R975" s="196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  <c r="DK975" s="54"/>
    </row>
    <row r="976" customFormat="false" ht="11.25" hidden="false" customHeight="true" outlineLevel="0" collapsed="false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L976" s="54"/>
      <c r="M976" s="54"/>
      <c r="N976" s="195"/>
      <c r="O976" s="195"/>
      <c r="P976" s="195"/>
      <c r="Q976" s="54"/>
      <c r="R976" s="196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</row>
    <row r="977" customFormat="false" ht="11.25" hidden="false" customHeight="true" outlineLevel="0" collapsed="false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L977" s="54"/>
      <c r="M977" s="54"/>
      <c r="N977" s="195"/>
      <c r="O977" s="195"/>
      <c r="P977" s="195"/>
      <c r="Q977" s="54"/>
      <c r="R977" s="196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  <c r="DK977" s="54"/>
    </row>
    <row r="978" customFormat="false" ht="11.25" hidden="false" customHeight="true" outlineLevel="0" collapsed="false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L978" s="54"/>
      <c r="M978" s="54"/>
      <c r="N978" s="195"/>
      <c r="O978" s="195"/>
      <c r="P978" s="195"/>
      <c r="Q978" s="54"/>
      <c r="R978" s="196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  <c r="DK978" s="54"/>
    </row>
    <row r="979" customFormat="false" ht="11.25" hidden="false" customHeight="true" outlineLevel="0" collapsed="false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L979" s="54"/>
      <c r="M979" s="54"/>
      <c r="N979" s="195"/>
      <c r="O979" s="195"/>
      <c r="P979" s="195"/>
      <c r="Q979" s="54"/>
      <c r="R979" s="196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  <c r="DK979" s="54"/>
    </row>
    <row r="980" customFormat="false" ht="11.25" hidden="false" customHeight="true" outlineLevel="0" collapsed="false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L980" s="54"/>
      <c r="M980" s="54"/>
      <c r="N980" s="195"/>
      <c r="O980" s="195"/>
      <c r="P980" s="195"/>
      <c r="Q980" s="54"/>
      <c r="R980" s="196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</row>
    <row r="981" customFormat="false" ht="11.25" hidden="false" customHeight="true" outlineLevel="0" collapsed="false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L981" s="54"/>
      <c r="M981" s="54"/>
      <c r="N981" s="195"/>
      <c r="O981" s="195"/>
      <c r="P981" s="195"/>
      <c r="Q981" s="54"/>
      <c r="R981" s="196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  <c r="DK981" s="54"/>
    </row>
    <row r="982" customFormat="false" ht="11.25" hidden="false" customHeight="true" outlineLevel="0" collapsed="false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L982" s="54"/>
      <c r="M982" s="54"/>
      <c r="N982" s="195"/>
      <c r="O982" s="195"/>
      <c r="P982" s="195"/>
      <c r="Q982" s="54"/>
      <c r="R982" s="196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  <c r="DK982" s="54"/>
    </row>
    <row r="983" customFormat="false" ht="11.25" hidden="false" customHeight="true" outlineLevel="0" collapsed="false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L983" s="54"/>
      <c r="M983" s="54"/>
      <c r="N983" s="195"/>
      <c r="O983" s="195"/>
      <c r="P983" s="195"/>
      <c r="Q983" s="54"/>
      <c r="R983" s="196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  <c r="DK983" s="54"/>
    </row>
    <row r="984" customFormat="false" ht="11.25" hidden="false" customHeight="true" outlineLevel="0" collapsed="false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L984" s="54"/>
      <c r="M984" s="54"/>
      <c r="N984" s="195"/>
      <c r="O984" s="195"/>
      <c r="P984" s="195"/>
      <c r="Q984" s="54"/>
      <c r="R984" s="196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</row>
    <row r="985" customFormat="false" ht="11.25" hidden="false" customHeight="true" outlineLevel="0" collapsed="false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L985" s="54"/>
      <c r="M985" s="54"/>
      <c r="N985" s="195"/>
      <c r="O985" s="195"/>
      <c r="P985" s="195"/>
      <c r="Q985" s="54"/>
      <c r="R985" s="196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  <c r="DK985" s="54"/>
    </row>
    <row r="986" customFormat="false" ht="11.25" hidden="false" customHeight="true" outlineLevel="0" collapsed="false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L986" s="54"/>
      <c r="M986" s="54"/>
      <c r="N986" s="195"/>
      <c r="O986" s="195"/>
      <c r="P986" s="195"/>
      <c r="Q986" s="54"/>
      <c r="R986" s="196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  <c r="DK986" s="54"/>
    </row>
    <row r="987" customFormat="false" ht="11.25" hidden="false" customHeight="true" outlineLevel="0" collapsed="false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L987" s="54"/>
      <c r="M987" s="54"/>
      <c r="N987" s="195"/>
      <c r="O987" s="195"/>
      <c r="P987" s="195"/>
      <c r="Q987" s="54"/>
      <c r="R987" s="196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  <c r="DK987" s="54"/>
    </row>
    <row r="988" customFormat="false" ht="11.25" hidden="false" customHeight="true" outlineLevel="0" collapsed="false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L988" s="54"/>
      <c r="M988" s="54"/>
      <c r="N988" s="195"/>
      <c r="O988" s="195"/>
      <c r="P988" s="195"/>
      <c r="Q988" s="54"/>
      <c r="R988" s="196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</row>
    <row r="989" customFormat="false" ht="11.25" hidden="false" customHeight="true" outlineLevel="0" collapsed="false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L989" s="54"/>
      <c r="M989" s="54"/>
      <c r="N989" s="195"/>
      <c r="O989" s="195"/>
      <c r="P989" s="195"/>
      <c r="Q989" s="54"/>
      <c r="R989" s="196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  <c r="DK989" s="54"/>
    </row>
    <row r="990" customFormat="false" ht="11.25" hidden="false" customHeight="true" outlineLevel="0" collapsed="false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L990" s="54"/>
      <c r="M990" s="54"/>
      <c r="N990" s="195"/>
      <c r="O990" s="195"/>
      <c r="P990" s="195"/>
      <c r="Q990" s="54"/>
      <c r="R990" s="196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  <c r="DK990" s="54"/>
    </row>
    <row r="991" customFormat="false" ht="11.25" hidden="false" customHeight="true" outlineLevel="0" collapsed="false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L991" s="54"/>
      <c r="M991" s="54"/>
      <c r="N991" s="195"/>
      <c r="O991" s="195"/>
      <c r="P991" s="195"/>
      <c r="Q991" s="54"/>
      <c r="R991" s="196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  <c r="DK991" s="54"/>
    </row>
    <row r="992" customFormat="false" ht="11.25" hidden="false" customHeight="true" outlineLevel="0" collapsed="false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L992" s="54"/>
      <c r="M992" s="54"/>
      <c r="N992" s="195"/>
      <c r="O992" s="195"/>
      <c r="P992" s="195"/>
      <c r="Q992" s="54"/>
      <c r="R992" s="196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</row>
    <row r="993" customFormat="false" ht="11.25" hidden="false" customHeight="true" outlineLevel="0" collapsed="false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L993" s="54"/>
      <c r="M993" s="54"/>
      <c r="N993" s="195"/>
      <c r="O993" s="195"/>
      <c r="P993" s="195"/>
      <c r="Q993" s="54"/>
      <c r="R993" s="196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  <c r="DK993" s="54"/>
    </row>
    <row r="994" customFormat="false" ht="11.25" hidden="false" customHeight="true" outlineLevel="0" collapsed="false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L994" s="54"/>
      <c r="M994" s="54"/>
      <c r="N994" s="195"/>
      <c r="O994" s="195"/>
      <c r="P994" s="195"/>
      <c r="Q994" s="54"/>
      <c r="R994" s="196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  <c r="DK994" s="54"/>
    </row>
    <row r="995" customFormat="false" ht="11.25" hidden="false" customHeight="true" outlineLevel="0" collapsed="false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L995" s="54"/>
      <c r="M995" s="54"/>
      <c r="N995" s="195"/>
      <c r="O995" s="195"/>
      <c r="P995" s="195"/>
      <c r="Q995" s="54"/>
      <c r="R995" s="196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  <c r="DK995" s="54"/>
    </row>
    <row r="996" customFormat="false" ht="11.25" hidden="false" customHeight="true" outlineLevel="0" collapsed="false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L996" s="54"/>
      <c r="M996" s="54"/>
      <c r="N996" s="195"/>
      <c r="O996" s="195"/>
      <c r="P996" s="195"/>
      <c r="Q996" s="54"/>
      <c r="R996" s="196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</row>
    <row r="997" customFormat="false" ht="11.25" hidden="false" customHeight="true" outlineLevel="0" collapsed="false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L997" s="54"/>
      <c r="M997" s="54"/>
      <c r="N997" s="195"/>
      <c r="O997" s="195"/>
      <c r="P997" s="195"/>
      <c r="Q997" s="54"/>
      <c r="R997" s="196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  <c r="DK997" s="54"/>
    </row>
    <row r="998" customFormat="false" ht="11.25" hidden="false" customHeight="true" outlineLevel="0" collapsed="false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L998" s="54"/>
      <c r="M998" s="54"/>
      <c r="N998" s="195"/>
      <c r="O998" s="195"/>
      <c r="P998" s="195"/>
      <c r="Q998" s="54"/>
      <c r="R998" s="196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  <c r="DK998" s="54"/>
    </row>
    <row r="999" customFormat="false" ht="11.25" hidden="false" customHeight="true" outlineLevel="0" collapsed="false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L999" s="54"/>
      <c r="M999" s="54"/>
      <c r="N999" s="195"/>
      <c r="O999" s="195"/>
      <c r="P999" s="195"/>
      <c r="Q999" s="54"/>
      <c r="R999" s="196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  <c r="DK999" s="54"/>
    </row>
    <row r="1000" customFormat="false" ht="11.25" hidden="false" customHeight="true" outlineLevel="0" collapsed="false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L1000" s="54"/>
      <c r="M1000" s="54"/>
      <c r="N1000" s="195"/>
      <c r="O1000" s="195"/>
      <c r="P1000" s="195"/>
      <c r="Q1000" s="54"/>
      <c r="R1000" s="196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</row>
    <row r="1001" customFormat="false" ht="11.25" hidden="false" customHeight="true" outlineLevel="0" collapsed="false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L1001" s="54"/>
      <c r="M1001" s="54"/>
      <c r="N1001" s="195"/>
      <c r="O1001" s="195"/>
      <c r="P1001" s="195"/>
      <c r="Q1001" s="54"/>
      <c r="R1001" s="196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  <c r="DK1001" s="5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4.88"/>
    <col collapsed="false" customWidth="true" hidden="false" outlineLevel="0" max="2" min="2" style="0" width="60.13"/>
    <col collapsed="false" customWidth="true" hidden="false" outlineLevel="0" max="3" min="3" style="0" width="5.25"/>
    <col collapsed="false" customWidth="true" hidden="false" outlineLevel="0" max="4" min="4" style="0" width="55.13"/>
    <col collapsed="false" customWidth="true" hidden="false" outlineLevel="0" max="5" min="5" style="0" width="26.13"/>
    <col collapsed="false" customWidth="true" hidden="false" outlineLevel="0" max="6" min="6" style="0" width="4.5"/>
  </cols>
  <sheetData>
    <row r="1" customFormat="false" ht="15" hidden="false" customHeight="false" outlineLevel="0" collapsed="false">
      <c r="A1" s="197" t="str">
        <f aca="false">IFERROR(__xludf.dummyfunction("IMPORTRANGE(""1NZaPiVqFzCwlmUq8LagadmqPKSiT9llb2c3OuwvzV-4"",""Obj PDI!a1:o250"")"),"N. Dir.")</f>
        <v>N. Dir.</v>
      </c>
      <c r="B1" s="198" t="str">
        <f aca="false">IFERROR(__xludf.dummyfunction("""COMPUTED_VALUE"""),"Diretriz")</f>
        <v>Diretriz</v>
      </c>
      <c r="C1" s="198" t="str">
        <f aca="false">IFERROR(__xludf.dummyfunction("""COMPUTED_VALUE"""),"N. Obj.")</f>
        <v>N. Obj.</v>
      </c>
      <c r="D1" s="198" t="str">
        <f aca="false">IFERROR(__xludf.dummyfunction("""COMPUTED_VALUE"""),"Objetivo PDI")</f>
        <v>Objetivo PDI</v>
      </c>
      <c r="E1" s="198" t="str">
        <f aca="false">IFERROR(__xludf.dummyfunction("""COMPUTED_VALUE"""),"Responsável")</f>
        <v>Responsável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customFormat="false" ht="15" hidden="false" customHeight="false" outlineLevel="0" collapsed="false">
      <c r="A2" s="200" t="str">
        <f aca="false">IFERROR(__xludf.dummyfunction("""COMPUTED_VALUE"""),"1.1")</f>
        <v>1.1</v>
      </c>
      <c r="B2" s="201" t="str">
        <f aca="false">IFERROR(__xludf.dummyfunction("""COMPUTED_VALUE"""),"Adequar estatuto e regimento geral para atender aos objetivos institucionais;")</f>
        <v>Adequar estatuto e regimento geral para atender aos objetivos institucionais;</v>
      </c>
      <c r="C2" s="202" t="n">
        <f aca="false">IFERROR(__xludf.dummyfunction("""COMPUTED_VALUE"""),1)</f>
        <v>1</v>
      </c>
      <c r="D2" s="201" t="str">
        <f aca="false">IFERROR(__xludf.dummyfunction("""COMPUTED_VALUE"""),"Adequar a estrutura organizacional aos objetivos institucionais presentes no PDI.")</f>
        <v>Adequar a estrutura organizacional aos objetivos institucionais presentes no PDI.</v>
      </c>
      <c r="E2" s="202" t="str">
        <f aca="false">IFERROR(__xludf.dummyfunction("""COMPUTED_VALUE"""),"GABINETE DA REITORIA")</f>
        <v>GABINETE DA REITORIA</v>
      </c>
      <c r="F2" s="203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customFormat="false" ht="15" hidden="false" customHeight="false" outlineLevel="0" collapsed="false">
      <c r="A3" s="200" t="str">
        <f aca="false">IFERROR(__xludf.dummyfunction("""COMPUTED_VALUE"""),"1.2")</f>
        <v>1.2</v>
      </c>
      <c r="B3" s="201" t="str">
        <f aca="false">IFERROR(__xludf.dummyfunction("""COMPUTED_VALUE"""),"Definir as atribuições das macro unidades alinhadas aos objetivos institucionais;")</f>
        <v>Definir as atribuições das macro unidades alinhadas aos objetivos institucionais;</v>
      </c>
      <c r="C3" s="202" t="n">
        <f aca="false">IFERROR(__xludf.dummyfunction("""COMPUTED_VALUE"""),1)</f>
        <v>1</v>
      </c>
      <c r="D3" s="201" t="str">
        <f aca="false">IFERROR(__xludf.dummyfunction("""COMPUTED_VALUE"""),"Adequar a estrutura organizacional aos objetivos institucionais presentes no PDI.")</f>
        <v>Adequar a estrutura organizacional aos objetivos institucionais presentes no PDI.</v>
      </c>
      <c r="E3" s="202" t="str">
        <f aca="false">IFERROR(__xludf.dummyfunction("""COMPUTED_VALUE"""),"GABINETE DA REITORIA")</f>
        <v>GABINETE DA REITORIA</v>
      </c>
      <c r="F3" s="203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customFormat="false" ht="15" hidden="false" customHeight="false" outlineLevel="0" collapsed="false">
      <c r="A4" s="200" t="str">
        <f aca="false">IFERROR(__xludf.dummyfunction("""COMPUTED_VALUE"""),"1.3")</f>
        <v>1.3</v>
      </c>
      <c r="B4" s="201" t="str">
        <f aca="false">IFERROR(__xludf.dummyfunction("""COMPUTED_VALUE"""),"Elaborar os organogramas das macro unidades de acordo com as atribuições;")</f>
        <v>Elaborar os organogramas das macro unidades de acordo com as atribuições;</v>
      </c>
      <c r="C4" s="202" t="n">
        <f aca="false">IFERROR(__xludf.dummyfunction("""COMPUTED_VALUE"""),1)</f>
        <v>1</v>
      </c>
      <c r="D4" s="201" t="str">
        <f aca="false">IFERROR(__xludf.dummyfunction("""COMPUTED_VALUE"""),"Adequar a estrutura organizacional aos objetivos institucionais presentes no PDI.")</f>
        <v>Adequar a estrutura organizacional aos objetivos institucionais presentes no PDI.</v>
      </c>
      <c r="E4" s="202" t="str">
        <f aca="false">IFERROR(__xludf.dummyfunction("""COMPUTED_VALUE"""),"GABINETE DA REITORIA")</f>
        <v>GABINETE DA REITORIA</v>
      </c>
      <c r="F4" s="203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customFormat="false" ht="15" hidden="false" customHeight="false" outlineLevel="0" collapsed="false">
      <c r="A5" s="200" t="str">
        <f aca="false">IFERROR(__xludf.dummyfunction("""COMPUTED_VALUE"""),"1.4")</f>
        <v>1.4</v>
      </c>
      <c r="B5" s="201" t="str">
        <f aca="false">IFERROR(__xludf.dummyfunction("""COMPUTED_VALUE"""),"Definir os regimentos das macro unidades de acordo com as atribuições e organogramas.")</f>
        <v>Definir os regimentos das macro unidades de acordo com as atribuições e organogramas.</v>
      </c>
      <c r="C5" s="202" t="n">
        <f aca="false">IFERROR(__xludf.dummyfunction("""COMPUTED_VALUE"""),1)</f>
        <v>1</v>
      </c>
      <c r="D5" s="201" t="str">
        <f aca="false">IFERROR(__xludf.dummyfunction("""COMPUTED_VALUE"""),"Adequar a estrutura organizacional aos objetivos institucionais presentes no PDI.")</f>
        <v>Adequar a estrutura organizacional aos objetivos institucionais presentes no PDI.</v>
      </c>
      <c r="E5" s="202" t="str">
        <f aca="false">IFERROR(__xludf.dummyfunction("""COMPUTED_VALUE"""),"GABINETE DA REITORIA")</f>
        <v>GABINETE DA REITORIA</v>
      </c>
      <c r="F5" s="203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customFormat="false" ht="15" hidden="false" customHeight="false" outlineLevel="0" collapsed="false">
      <c r="A6" s="200" t="str">
        <f aca="false">IFERROR(__xludf.dummyfunction("""COMPUTED_VALUE"""),"2.1")</f>
        <v>2.1</v>
      </c>
      <c r="B6" s="201" t="str">
        <f aca="false">IFERROR(__xludf.dummyfunction("""COMPUTED_VALUE"""),"Consolidar metodologia de gestão por processos, contemplando a informatização, com base em modelos instituídos na administração pública;")</f>
        <v>Consolidar metodologia de gestão por processos, contemplando a informatização, com base em modelos instituídos na administração pública;</v>
      </c>
      <c r="C6" s="202" t="n">
        <f aca="false">IFERROR(__xludf.dummyfunction("""COMPUTED_VALUE"""),2)</f>
        <v>2</v>
      </c>
      <c r="D6" s="201" t="str">
        <f aca="false">IFERROR(__xludf.dummyfunction("""COMPUTED_VALUE"""),"Elevar o nível de maturidade em gestão por processos, visando a simplificação, transparência e melhoria contínua.")</f>
        <v>Elevar o nível de maturidade em gestão por processos, visando a simplificação, transparência e melhoria contínua.</v>
      </c>
      <c r="E6" s="202" t="str">
        <f aca="false">IFERROR(__xludf.dummyfunction("""COMPUTED_VALUE"""),"PROPLAN")</f>
        <v>PROPLAN</v>
      </c>
      <c r="F6" s="203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</row>
    <row r="7" customFormat="false" ht="15" hidden="false" customHeight="false" outlineLevel="0" collapsed="false">
      <c r="A7" s="200" t="str">
        <f aca="false">IFERROR(__xludf.dummyfunction("""COMPUTED_VALUE"""),"2.2")</f>
        <v>2.2</v>
      </c>
      <c r="B7" s="201" t="str">
        <f aca="false">IFERROR(__xludf.dummyfunction("""COMPUTED_VALUE"""),"Realizar mapeamento, avaliação e melhoria contínua dos processos;")</f>
        <v>Realizar mapeamento, avaliação e melhoria contínua dos processos;</v>
      </c>
      <c r="C7" s="202" t="n">
        <f aca="false">IFERROR(__xludf.dummyfunction("""COMPUTED_VALUE"""),2)</f>
        <v>2</v>
      </c>
      <c r="D7" s="201" t="str">
        <f aca="false">IFERROR(__xludf.dummyfunction("""COMPUTED_VALUE"""),"Elevar o nível de maturidade em gestão por processos, visando a simplificação, transparência e melhoria contínua.")</f>
        <v>Elevar o nível de maturidade em gestão por processos, visando a simplificação, transparência e melhoria contínua.</v>
      </c>
      <c r="E7" s="202" t="str">
        <f aca="false">IFERROR(__xludf.dummyfunction("""COMPUTED_VALUE"""),"PROPLAN")</f>
        <v>PROPLAN</v>
      </c>
      <c r="F7" s="203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</row>
    <row r="8" customFormat="false" ht="15" hidden="false" customHeight="false" outlineLevel="0" collapsed="false">
      <c r="A8" s="200" t="str">
        <f aca="false">IFERROR(__xludf.dummyfunction("""COMPUTED_VALUE"""),"2.3")</f>
        <v>2.3</v>
      </c>
      <c r="B8" s="201" t="str">
        <f aca="false">IFERROR(__xludf.dummyfunction("""COMPUTED_VALUE"""),"Capacitar servidores para atuar na gestão por processos.")</f>
        <v>Capacitar servidores para atuar na gestão por processos.</v>
      </c>
      <c r="C8" s="202" t="n">
        <f aca="false">IFERROR(__xludf.dummyfunction("""COMPUTED_VALUE"""),2)</f>
        <v>2</v>
      </c>
      <c r="D8" s="201" t="str">
        <f aca="false">IFERROR(__xludf.dummyfunction("""COMPUTED_VALUE"""),"Elevar o nível de maturidade em gestão por processos, visando a simplificação, transparência e melhoria contínua.")</f>
        <v>Elevar o nível de maturidade em gestão por processos, visando a simplificação, transparência e melhoria contínua.</v>
      </c>
      <c r="E8" s="202" t="str">
        <f aca="false">IFERROR(__xludf.dummyfunction("""COMPUTED_VALUE"""),"PROPLAN")</f>
        <v>PROPLAN</v>
      </c>
      <c r="F8" s="203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</row>
    <row r="9" customFormat="false" ht="15" hidden="false" customHeight="false" outlineLevel="0" collapsed="false">
      <c r="A9" s="200" t="str">
        <f aca="false">IFERROR(__xludf.dummyfunction("""COMPUTED_VALUE"""),"3.1")</f>
        <v>3.1</v>
      </c>
      <c r="B9" s="201" t="str">
        <f aca="false">IFERROR(__xludf.dummyfunction("""COMPUTED_VALUE"""),"Desenvolver cultura de planejamento na universidade focado no interesse institucional;")</f>
        <v>Desenvolver cultura de planejamento na universidade focado no interesse institucional;</v>
      </c>
      <c r="C9" s="202" t="n">
        <f aca="false">IFERROR(__xludf.dummyfunction("""COMPUTED_VALUE"""),3)</f>
        <v>3</v>
      </c>
      <c r="D9" s="201" t="str">
        <f aca="false">IFERROR(__xludf.dummyfunction("""COMPUTED_VALUE"""),"Alinhar o planejamento entre as áreas internas com os fatores e atores externos, visando a sustentabilidade e o cumprimento da missão institucional.")</f>
        <v>Alinhar o planejamento entre as áreas internas com os fatores e atores externos, visando a sustentabilidade e o cumprimento da missão institucional.</v>
      </c>
      <c r="E9" s="202" t="str">
        <f aca="false">IFERROR(__xludf.dummyfunction("""COMPUTED_VALUE"""),"REITORIA / PROPLAN")</f>
        <v>REITORIA / PROPLAN</v>
      </c>
      <c r="F9" s="203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</row>
    <row r="10" customFormat="false" ht="15" hidden="false" customHeight="false" outlineLevel="0" collapsed="false">
      <c r="A10" s="200" t="str">
        <f aca="false">IFERROR(__xludf.dummyfunction("""COMPUTED_VALUE"""),"3.2")</f>
        <v>3.2</v>
      </c>
      <c r="B10" s="201" t="str">
        <f aca="false">IFERROR(__xludf.dummyfunction("""COMPUTED_VALUE"""),"Criar iniciativas visando o pensamento de longo prazo e sustentável na universidade;")</f>
        <v>Criar iniciativas visando o pensamento de longo prazo e sustentável na universidade;</v>
      </c>
      <c r="C10" s="202" t="n">
        <f aca="false">IFERROR(__xludf.dummyfunction("""COMPUTED_VALUE"""),3)</f>
        <v>3</v>
      </c>
      <c r="D10" s="201" t="str">
        <f aca="false">IFERROR(__xludf.dummyfunction("""COMPUTED_VALUE"""),"Alinhar o planejamento entre as áreas internas com os fatores e atores externos, visando a sustentabilidade e o cumprimento da missão institucional.")</f>
        <v>Alinhar o planejamento entre as áreas internas com os fatores e atores externos, visando a sustentabilidade e o cumprimento da missão institucional.</v>
      </c>
      <c r="E10" s="202" t="str">
        <f aca="false">IFERROR(__xludf.dummyfunction("""COMPUTED_VALUE"""),"REITORIA / PROPLAN")</f>
        <v>REITORIA / PROPLAN</v>
      </c>
      <c r="F10" s="203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</row>
    <row r="11" customFormat="false" ht="15" hidden="false" customHeight="false" outlineLevel="0" collapsed="false">
      <c r="A11" s="200" t="str">
        <f aca="false">IFERROR(__xludf.dummyfunction("""COMPUTED_VALUE"""),"3.3")</f>
        <v>3.3</v>
      </c>
      <c r="B11" s="201" t="str">
        <f aca="false">IFERROR(__xludf.dummyfunction("""COMPUTED_VALUE"""),"Desenvolver ferramentas e institucionalizar políticas para subsidiar tomadas de decisão das instâncias deliberativas e gestão das macro unidades;")</f>
        <v>Desenvolver ferramentas e institucionalizar políticas para subsidiar tomadas de decisão das instâncias deliberativas e gestão das macro unidades;</v>
      </c>
      <c r="C11" s="202" t="n">
        <f aca="false">IFERROR(__xludf.dummyfunction("""COMPUTED_VALUE"""),3)</f>
        <v>3</v>
      </c>
      <c r="D11" s="201" t="str">
        <f aca="false">IFERROR(__xludf.dummyfunction("""COMPUTED_VALUE"""),"Alinhar o planejamento entre as áreas internas com os fatores e atores externos, visando a sustentabilidade e o cumprimento da missão institucional.")</f>
        <v>Alinhar o planejamento entre as áreas internas com os fatores e atores externos, visando a sustentabilidade e o cumprimento da missão institucional.</v>
      </c>
      <c r="E11" s="202" t="str">
        <f aca="false">IFERROR(__xludf.dummyfunction("""COMPUTED_VALUE"""),"REITORIA / PROPLAN")</f>
        <v>REITORIA / PROPLAN</v>
      </c>
      <c r="F11" s="203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</row>
    <row r="12" customFormat="false" ht="15" hidden="false" customHeight="false" outlineLevel="0" collapsed="false">
      <c r="A12" s="200" t="str">
        <f aca="false">IFERROR(__xludf.dummyfunction("""COMPUTED_VALUE"""),"3.4")</f>
        <v>3.4</v>
      </c>
      <c r="B12" s="201" t="str">
        <f aca="false">IFERROR(__xludf.dummyfunction("""COMPUTED_VALUE"""),"Integrar todos os instrumentos de planejamento da universidade entre si e com as exigências de órgãos externos.")</f>
        <v>Integrar todos os instrumentos de planejamento da universidade entre si e com as exigências de órgãos externos.</v>
      </c>
      <c r="C12" s="202" t="n">
        <f aca="false">IFERROR(__xludf.dummyfunction("""COMPUTED_VALUE"""),3)</f>
        <v>3</v>
      </c>
      <c r="D12" s="201" t="str">
        <f aca="false">IFERROR(__xludf.dummyfunction("""COMPUTED_VALUE"""),"Alinhar o planejamento entre as áreas internas com os fatores e atores externos, visando a sustentabilidade e o cumprimento da missão institucional.")</f>
        <v>Alinhar o planejamento entre as áreas internas com os fatores e atores externos, visando a sustentabilidade e o cumprimento da missão institucional.</v>
      </c>
      <c r="E12" s="202" t="str">
        <f aca="false">IFERROR(__xludf.dummyfunction("""COMPUTED_VALUE"""),"REITORIA / PROPLAN")</f>
        <v>REITORIA / PROPLAN</v>
      </c>
      <c r="F12" s="203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</row>
    <row r="13" customFormat="false" ht="15" hidden="false" customHeight="false" outlineLevel="0" collapsed="false">
      <c r="A13" s="200" t="str">
        <f aca="false">IFERROR(__xludf.dummyfunction("""COMPUTED_VALUE"""),"4.1")</f>
        <v>4.1</v>
      </c>
      <c r="B13" s="201" t="str">
        <f aca="false">IFERROR(__xludf.dummyfunction("""COMPUTED_VALUE"""),"Adequar o número de instâncias deliberativas colegiadas acadêmicas e administrativas, visando celeridade, segurança e alinhamento das decisões;")</f>
        <v>Adequar o número de instâncias deliberativas colegiadas acadêmicas e administrativas, visando celeridade, segurança e alinhamento das decisões;</v>
      </c>
      <c r="C13" s="202" t="n">
        <f aca="false">IFERROR(__xludf.dummyfunction("""COMPUTED_VALUE"""),4)</f>
        <v>4</v>
      </c>
      <c r="D13" s="201" t="str">
        <f aca="false">IFERROR(__xludf.dummyfunction("""COMPUTED_VALUE"""),"Adequar a estrutura de governança visando a eficiência e instituindo ferramentas de controle, monitoramento e avaliação permanentes.")</f>
        <v>Adequar a estrutura de governança visando a eficiência e instituindo ferramentas de controle, monitoramento e avaliação permanentes.</v>
      </c>
      <c r="E13" s="202" t="str">
        <f aca="false">IFERROR(__xludf.dummyfunction("""COMPUTED_VALUE"""),"REITORIA / PROPLAN")</f>
        <v>REITORIA / PROPLAN</v>
      </c>
      <c r="F13" s="203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</row>
    <row r="14" customFormat="false" ht="15" hidden="false" customHeight="false" outlineLevel="0" collapsed="false">
      <c r="A14" s="200" t="str">
        <f aca="false">IFERROR(__xludf.dummyfunction("""COMPUTED_VALUE"""),"4.2")</f>
        <v>4.2</v>
      </c>
      <c r="B14" s="201" t="str">
        <f aca="false">IFERROR(__xludf.dummyfunction("""COMPUTED_VALUE"""),"Instituir a política de governança contemplando controles internos, gestão de riscos, integridade e transparência;")</f>
        <v>Instituir a política de governança contemplando controles internos, gestão de riscos, integridade e transparência;</v>
      </c>
      <c r="C14" s="202" t="n">
        <f aca="false">IFERROR(__xludf.dummyfunction("""COMPUTED_VALUE"""),4)</f>
        <v>4</v>
      </c>
      <c r="D14" s="201" t="str">
        <f aca="false">IFERROR(__xludf.dummyfunction("""COMPUTED_VALUE"""),"Adequar a estrutura de governança visando a eficiência e instituindo ferramentas de controle, monitoramento e avaliação permanentes.")</f>
        <v>Adequar a estrutura de governança visando a eficiência e instituindo ferramentas de controle, monitoramento e avaliação permanentes.</v>
      </c>
      <c r="E14" s="202" t="str">
        <f aca="false">IFERROR(__xludf.dummyfunction("""COMPUTED_VALUE"""),"REITORIA / PROPLAN")</f>
        <v>REITORIA / PROPLAN</v>
      </c>
      <c r="F14" s="203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</row>
    <row r="15" customFormat="false" ht="15" hidden="false" customHeight="false" outlineLevel="0" collapsed="false">
      <c r="A15" s="200" t="str">
        <f aca="false">IFERROR(__xludf.dummyfunction("""COMPUTED_VALUE"""),"4.3")</f>
        <v>4.3</v>
      </c>
      <c r="B15" s="201" t="str">
        <f aca="false">IFERROR(__xludf.dummyfunction("""COMPUTED_VALUE"""),"Revisar normas internas visando alinhamento no que se refere à governança;")</f>
        <v>Revisar normas internas visando alinhamento no que se refere à governança;</v>
      </c>
      <c r="C15" s="202" t="n">
        <f aca="false">IFERROR(__xludf.dummyfunction("""COMPUTED_VALUE"""),4)</f>
        <v>4</v>
      </c>
      <c r="D15" s="201" t="str">
        <f aca="false">IFERROR(__xludf.dummyfunction("""COMPUTED_VALUE"""),"Adequar a estrutura de governança visando a eficiência e instituindo ferramentas de controle, monitoramento e avaliação permanentes.")</f>
        <v>Adequar a estrutura de governança visando a eficiência e instituindo ferramentas de controle, monitoramento e avaliação permanentes.</v>
      </c>
      <c r="E15" s="202" t="str">
        <f aca="false">IFERROR(__xludf.dummyfunction("""COMPUTED_VALUE"""),"REITORIA / PROPLAN")</f>
        <v>REITORIA / PROPLAN</v>
      </c>
      <c r="F15" s="203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</row>
    <row r="16" customFormat="false" ht="15" hidden="false" customHeight="false" outlineLevel="0" collapsed="false">
      <c r="A16" s="200" t="str">
        <f aca="false">IFERROR(__xludf.dummyfunction("""COMPUTED_VALUE"""),"4.4")</f>
        <v>4.4</v>
      </c>
      <c r="B16" s="201" t="str">
        <f aca="false">IFERROR(__xludf.dummyfunction("""COMPUTED_VALUE"""),"Desenvolver e instituir ferramentas integradas de controle, monitoramento e avaliação.")</f>
        <v>Desenvolver e instituir ferramentas integradas de controle, monitoramento e avaliação.</v>
      </c>
      <c r="C16" s="202" t="n">
        <f aca="false">IFERROR(__xludf.dummyfunction("""COMPUTED_VALUE"""),4)</f>
        <v>4</v>
      </c>
      <c r="D16" s="201" t="str">
        <f aca="false">IFERROR(__xludf.dummyfunction("""COMPUTED_VALUE"""),"Adequar a estrutura de governança visando a eficiência e instituindo ferramentas de controle, monitoramento e avaliação permanentes.")</f>
        <v>Adequar a estrutura de governança visando a eficiência e instituindo ferramentas de controle, monitoramento e avaliação permanentes.</v>
      </c>
      <c r="E16" s="202" t="str">
        <f aca="false">IFERROR(__xludf.dummyfunction("""COMPUTED_VALUE"""),"REITORIA / PROPLAN")</f>
        <v>REITORIA / PROPLAN</v>
      </c>
      <c r="F16" s="203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</row>
    <row r="17" customFormat="false" ht="15" hidden="false" customHeight="false" outlineLevel="0" collapsed="false">
      <c r="A17" s="200" t="str">
        <f aca="false">IFERROR(__xludf.dummyfunction("""COMPUTED_VALUE"""),"5.1")</f>
        <v>5.1</v>
      </c>
      <c r="B17" s="201" t="str">
        <f aca="false">IFERROR(__xludf.dummyfunction("""COMPUTED_VALUE"""),"Fomentar a cultura de autoavaliação institucional pela comunidade acadêmica e ampliar a participação da comunidade externa nos processos avaliativos institucionais.")</f>
        <v>Fomentar a cultura de autoavaliação institucional pela comunidade acadêmica e ampliar a participação da comunidade externa nos processos avaliativos institucionais.</v>
      </c>
      <c r="C17" s="202" t="n">
        <f aca="false">IFERROR(__xludf.dummyfunction("""COMPUTED_VALUE"""),5)</f>
        <v>5</v>
      </c>
      <c r="D17" s="201" t="str">
        <f aca="false">IFERROR(__xludf.dummyfunction("""COMPUTED_VALUE"""),"Aprimorar os processos de avaliação interna da UNILA a fim de instituir uma cultura avaliativa que contribua para o alcance dos objetivos institucionais e da sua missão.")</f>
        <v>Aprimorar os processos de avaliação interna da UNILA a fim de instituir uma cultura avaliativa que contribua para o alcance dos objetivos institucionais e da sua missão.</v>
      </c>
      <c r="E17" s="202" t="str">
        <f aca="false">IFERROR(__xludf.dummyfunction("""COMPUTED_VALUE"""),"REITORIA / CPA")</f>
        <v>REITORIA / CPA</v>
      </c>
      <c r="F17" s="203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</row>
    <row r="18" customFormat="false" ht="15" hidden="false" customHeight="false" outlineLevel="0" collapsed="false">
      <c r="A18" s="200" t="str">
        <f aca="false">IFERROR(__xludf.dummyfunction("""COMPUTED_VALUE"""),"5.2")</f>
        <v>5.2</v>
      </c>
      <c r="B18" s="201" t="str">
        <f aca="false">IFERROR(__xludf.dummyfunction("""COMPUTED_VALUE"""),"Consolidar a avaliação interna como política e parte integrante de um programa de avaliação institucional.")</f>
        <v>Consolidar a avaliação interna como política e parte integrante de um programa de avaliação institucional.</v>
      </c>
      <c r="C18" s="202" t="n">
        <f aca="false">IFERROR(__xludf.dummyfunction("""COMPUTED_VALUE"""),5)</f>
        <v>5</v>
      </c>
      <c r="D18" s="201" t="str">
        <f aca="false">IFERROR(__xludf.dummyfunction("""COMPUTED_VALUE"""),"Aprimorar os processos de avaliação interna da UNILA a fim de instituir uma cultura avaliativa que contribua para o alcance dos objetivos institucionais e da sua missão.")</f>
        <v>Aprimorar os processos de avaliação interna da UNILA a fim de instituir uma cultura avaliativa que contribua para o alcance dos objetivos institucionais e da sua missão.</v>
      </c>
      <c r="E18" s="202" t="str">
        <f aca="false">IFERROR(__xludf.dummyfunction("""COMPUTED_VALUE"""),"REITORIA / CPA")</f>
        <v>REITORIA / CPA</v>
      </c>
      <c r="F18" s="203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</row>
    <row r="19" customFormat="false" ht="15" hidden="false" customHeight="false" outlineLevel="0" collapsed="false">
      <c r="A19" s="200" t="str">
        <f aca="false">IFERROR(__xludf.dummyfunction("""COMPUTED_VALUE"""),"5.3")</f>
        <v>5.3</v>
      </c>
      <c r="B19" s="201" t="str">
        <f aca="false">IFERROR(__xludf.dummyfunction("""COMPUTED_VALUE"""),"Aprimorar o instrumento de avaliação interna dos cursos de graduação junto aos Núcleos Docentes Estruturantes (NDEs) dos respectivos cursos.")</f>
        <v>Aprimorar o instrumento de avaliação interna dos cursos de graduação junto aos Núcleos Docentes Estruturantes (NDEs) dos respectivos cursos.</v>
      </c>
      <c r="C19" s="202" t="n">
        <f aca="false">IFERROR(__xludf.dummyfunction("""COMPUTED_VALUE"""),5)</f>
        <v>5</v>
      </c>
      <c r="D19" s="201" t="str">
        <f aca="false">IFERROR(__xludf.dummyfunction("""COMPUTED_VALUE"""),"Aprimorar os processos de avaliação interna da UNILA a fim de instituir uma cultura avaliativa que contribua para o alcance dos objetivos institucionais e da sua missão.")</f>
        <v>Aprimorar os processos de avaliação interna da UNILA a fim de instituir uma cultura avaliativa que contribua para o alcance dos objetivos institucionais e da sua missão.</v>
      </c>
      <c r="E19" s="202" t="str">
        <f aca="false">IFERROR(__xludf.dummyfunction("""COMPUTED_VALUE"""),"REITORIA / CPA")</f>
        <v>REITORIA / CPA</v>
      </c>
      <c r="F19" s="203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</row>
    <row r="20" customFormat="false" ht="15" hidden="false" customHeight="false" outlineLevel="0" collapsed="false">
      <c r="A20" s="200" t="str">
        <f aca="false">IFERROR(__xludf.dummyfunction("""COMPUTED_VALUE"""),"5.4")</f>
        <v>5.4</v>
      </c>
      <c r="B20" s="201" t="str">
        <f aca="false">IFERROR(__xludf.dummyfunction("""COMPUTED_VALUE"""),"Criar e aplicar instrumentos de avaliação institucional pelos egressos e pela comunidade externa à Universidade.")</f>
        <v>Criar e aplicar instrumentos de avaliação institucional pelos egressos e pela comunidade externa à Universidade.</v>
      </c>
      <c r="C20" s="202" t="n">
        <f aca="false">IFERROR(__xludf.dummyfunction("""COMPUTED_VALUE"""),5)</f>
        <v>5</v>
      </c>
      <c r="D20" s="201" t="str">
        <f aca="false">IFERROR(__xludf.dummyfunction("""COMPUTED_VALUE"""),"Aprimorar os processos de avaliação interna da UNILA a fim de instituir uma cultura avaliativa que contribua para o alcance dos objetivos institucionais e da sua missão.")</f>
        <v>Aprimorar os processos de avaliação interna da UNILA a fim de instituir uma cultura avaliativa que contribua para o alcance dos objetivos institucionais e da sua missão.</v>
      </c>
      <c r="E20" s="202" t="str">
        <f aca="false">IFERROR(__xludf.dummyfunction("""COMPUTED_VALUE"""),"REITORIA / CPA")</f>
        <v>REITORIA / CPA</v>
      </c>
      <c r="F20" s="203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</row>
    <row r="21" customFormat="false" ht="15" hidden="false" customHeight="false" outlineLevel="0" collapsed="false">
      <c r="A21" s="200" t="str">
        <f aca="false">IFERROR(__xludf.dummyfunction("""COMPUTED_VALUE"""),"5.5")</f>
        <v>5.5</v>
      </c>
      <c r="B21" s="201" t="str">
        <f aca="false">IFERROR(__xludf.dummyfunction("""COMPUTED_VALUE"""),"Acompanhar a elaboração e execução do plano de ações para melhorias no âmbito da gestão, das unidades acadêmicas e dos cursos de graduação, a partir dos dados gerados pela autoavaliação institucional.")</f>
        <v>Acompanhar a elaboração e execução do plano de ações para melhorias no âmbito da gestão, das unidades acadêmicas e dos cursos de graduação, a partir dos dados gerados pela autoavaliação institucional.</v>
      </c>
      <c r="C21" s="202" t="n">
        <f aca="false">IFERROR(__xludf.dummyfunction("""COMPUTED_VALUE"""),5)</f>
        <v>5</v>
      </c>
      <c r="D21" s="201" t="str">
        <f aca="false">IFERROR(__xludf.dummyfunction("""COMPUTED_VALUE"""),"Aprimorar os processos de avaliação interna da UNILA a fim de instituir uma cultura avaliativa que contribua para o alcance dos objetivos institucionais e da sua missão.")</f>
        <v>Aprimorar os processos de avaliação interna da UNILA a fim de instituir uma cultura avaliativa que contribua para o alcance dos objetivos institucionais e da sua missão.</v>
      </c>
      <c r="E21" s="202" t="str">
        <f aca="false">IFERROR(__xludf.dummyfunction("""COMPUTED_VALUE"""),"REITORIA / CPA")</f>
        <v>REITORIA / CPA</v>
      </c>
      <c r="F21" s="203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</row>
    <row r="22" customFormat="false" ht="15" hidden="false" customHeight="false" outlineLevel="0" collapsed="false">
      <c r="A22" s="200" t="str">
        <f aca="false">IFERROR(__xludf.dummyfunction("""COMPUTED_VALUE"""),"6.1")</f>
        <v>6.1</v>
      </c>
      <c r="B22" s="201" t="str">
        <f aca="false">IFERROR(__xludf.dummyfunction("""COMPUTED_VALUE"""),"Desenvolver ações visando melhorar a autorresponsabilização e o comprometimento junto à instituição;")</f>
        <v>Desenvolver ações visando melhorar a autorresponsabilização e o comprometimento junto à instituição;</v>
      </c>
      <c r="C22" s="202" t="n">
        <f aca="false">IFERROR(__xludf.dummyfunction("""COMPUTED_VALUE"""),6)</f>
        <v>6</v>
      </c>
      <c r="D22" s="201" t="str">
        <f aca="false">IFERROR(__xludf.dummyfunction("""COMPUTED_VALUE"""),"Desenvolver e Fomentar espaços e ações que promovam e provoquem uma mudança na cultura organizacional, culminando na implementação de boas práticas em saúde e qualidade de vida no trabalho")</f>
        <v>Desenvolver e Fomentar espaços e ações que promovam e provoquem uma mudança na cultura organizacional, culminando na implementação de boas práticas em saúde e qualidade de vida no trabalho</v>
      </c>
      <c r="E22" s="202" t="str">
        <f aca="false">IFERROR(__xludf.dummyfunction("""COMPUTED_VALUE"""),"PROGEPE")</f>
        <v>PROGEPE</v>
      </c>
      <c r="F22" s="203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</row>
    <row r="23" customFormat="false" ht="15" hidden="false" customHeight="false" outlineLevel="0" collapsed="false">
      <c r="A23" s="200" t="str">
        <f aca="false">IFERROR(__xludf.dummyfunction("""COMPUTED_VALUE"""),"6.2")</f>
        <v>6.2</v>
      </c>
      <c r="B23" s="201" t="str">
        <f aca="false">IFERROR(__xludf.dummyfunction("""COMPUTED_VALUE"""),"Desenvolver ações que potencialize o indivíduo enquanto pessoa única, por meio de ações que abordem projetos de vida e o autoconhecimento ;")</f>
        <v>Desenvolver ações que potencialize o indivíduo enquanto pessoa única, por meio de ações que abordem projetos de vida e o autoconhecimento ;</v>
      </c>
      <c r="C23" s="202" t="n">
        <f aca="false">IFERROR(__xludf.dummyfunction("""COMPUTED_VALUE"""),6)</f>
        <v>6</v>
      </c>
      <c r="D23" s="201" t="str">
        <f aca="false">IFERROR(__xludf.dummyfunction("""COMPUTED_VALUE"""),"Desenvolver e Fomentar espaços e ações que promovam e provoquem uma mudança na cultura organizacional, culminando na implementação de boas práticas em saúde e qualidade de vida no trabalho")</f>
        <v>Desenvolver e Fomentar espaços e ações que promovam e provoquem uma mudança na cultura organizacional, culminando na implementação de boas práticas em saúde e qualidade de vida no trabalho</v>
      </c>
      <c r="E23" s="202" t="str">
        <f aca="false">IFERROR(__xludf.dummyfunction("""COMPUTED_VALUE"""),"PROGEPE")</f>
        <v>PROGEPE</v>
      </c>
      <c r="F23" s="203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</row>
    <row r="24" customFormat="false" ht="15" hidden="false" customHeight="false" outlineLevel="0" collapsed="false">
      <c r="A24" s="200" t="str">
        <f aca="false">IFERROR(__xludf.dummyfunction("""COMPUTED_VALUE"""),"6.3")</f>
        <v>6.3</v>
      </c>
      <c r="B24" s="201" t="str">
        <f aca="false">IFERROR(__xludf.dummyfunction("""COMPUTED_VALUE"""),"Criar e promover ações para aprofundar a compreensão da importância da comunicação no ambiente de trabalho ;")</f>
        <v>Criar e promover ações para aprofundar a compreensão da importância da comunicação no ambiente de trabalho ;</v>
      </c>
      <c r="C24" s="202" t="n">
        <f aca="false">IFERROR(__xludf.dummyfunction("""COMPUTED_VALUE"""),6)</f>
        <v>6</v>
      </c>
      <c r="D24" s="201" t="str">
        <f aca="false">IFERROR(__xludf.dummyfunction("""COMPUTED_VALUE"""),"Desenvolver e Fomentar espaços e ações que promovam e provoquem uma mudança na cultura organizacional, culminando na implementação de boas práticas em saúde e qualidade de vida no trabalho")</f>
        <v>Desenvolver e Fomentar espaços e ações que promovam e provoquem uma mudança na cultura organizacional, culminando na implementação de boas práticas em saúde e qualidade de vida no trabalho</v>
      </c>
      <c r="E24" s="202" t="str">
        <f aca="false">IFERROR(__xludf.dummyfunction("""COMPUTED_VALUE"""),"PROGEPE")</f>
        <v>PROGEPE</v>
      </c>
      <c r="F24" s="203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</row>
    <row r="25" customFormat="false" ht="15" hidden="false" customHeight="false" outlineLevel="0" collapsed="false">
      <c r="A25" s="200" t="str">
        <f aca="false">IFERROR(__xludf.dummyfunction("""COMPUTED_VALUE"""),"6.4")</f>
        <v>6.4</v>
      </c>
      <c r="B25" s="201" t="str">
        <f aca="false">IFERROR(__xludf.dummyfunction("""COMPUTED_VALUE"""),"Criar e desenvolver ações que previnam o surgimento e agravo de patologias.")</f>
        <v>Criar e desenvolver ações que previnam o surgimento e agravo de patologias.</v>
      </c>
      <c r="C25" s="202" t="n">
        <f aca="false">IFERROR(__xludf.dummyfunction("""COMPUTED_VALUE"""),6)</f>
        <v>6</v>
      </c>
      <c r="D25" s="201" t="str">
        <f aca="false">IFERROR(__xludf.dummyfunction("""COMPUTED_VALUE"""),"Desenvolver e Fomentar espaços e ações que promovam e provoquem uma mudança na cultura organizacional, culminando na implementação de boas práticas em saúde e qualidade de vida no trabalho")</f>
        <v>Desenvolver e Fomentar espaços e ações que promovam e provoquem uma mudança na cultura organizacional, culminando na implementação de boas práticas em saúde e qualidade de vida no trabalho</v>
      </c>
      <c r="E25" s="202" t="str">
        <f aca="false">IFERROR(__xludf.dummyfunction("""COMPUTED_VALUE"""),"PROGEPE")</f>
        <v>PROGEPE</v>
      </c>
      <c r="F25" s="203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</row>
    <row r="26" customFormat="false" ht="15" hidden="false" customHeight="false" outlineLevel="0" collapsed="false">
      <c r="A26" s="200" t="str">
        <f aca="false">IFERROR(__xludf.dummyfunction("""COMPUTED_VALUE"""),"6.5")</f>
        <v>6.5</v>
      </c>
      <c r="B26" s="201" t="str">
        <f aca="false">IFERROR(__xludf.dummyfunction("""COMPUTED_VALUE"""),"Planejar, divulgar e implementar boas práticas em saúde.")</f>
        <v>Planejar, divulgar e implementar boas práticas em saúde.</v>
      </c>
      <c r="C26" s="202" t="n">
        <f aca="false">IFERROR(__xludf.dummyfunction("""COMPUTED_VALUE"""),6)</f>
        <v>6</v>
      </c>
      <c r="D26" s="201" t="str">
        <f aca="false">IFERROR(__xludf.dummyfunction("""COMPUTED_VALUE"""),"Desenvolver e Fomentar espaços e ações que promovam e provoquem uma mudança na cultura organizacional, culminando na implementação de boas práticas em saúde e qualidade de vida no trabalho")</f>
        <v>Desenvolver e Fomentar espaços e ações que promovam e provoquem uma mudança na cultura organizacional, culminando na implementação de boas práticas em saúde e qualidade de vida no trabalho</v>
      </c>
      <c r="E26" s="202" t="str">
        <f aca="false">IFERROR(__xludf.dummyfunction("""COMPUTED_VALUE"""),"PROGEPE")</f>
        <v>PROGEPE</v>
      </c>
      <c r="F26" s="203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</row>
    <row r="27" customFormat="false" ht="15" hidden="false" customHeight="false" outlineLevel="0" collapsed="false">
      <c r="A27" s="200" t="str">
        <f aca="false">IFERROR(__xludf.dummyfunction("""COMPUTED_VALUE"""),"7.1")</f>
        <v>7.1</v>
      </c>
      <c r="B27" s="201" t="str">
        <f aca="false">IFERROR(__xludf.dummyfunction("""COMPUTED_VALUE"""),"Promover treinamento e desenvolvimento de pessoal nos aspectos técnicos, comportamentais e de valores para exercer liderança.")</f>
        <v>Promover treinamento e desenvolvimento de pessoal nos aspectos técnicos, comportamentais e de valores para exercer liderança.</v>
      </c>
      <c r="C27" s="202" t="n">
        <f aca="false">IFERROR(__xludf.dummyfunction("""COMPUTED_VALUE"""),7)</f>
        <v>7</v>
      </c>
      <c r="D27" s="201" t="str">
        <f aca="false">IFERROR(__xludf.dummyfunction("""COMPUTED_VALUE"""),"Criar e manter programa de desenvolvimento de lideranças visando ampliar as capacidades de gestão.")</f>
        <v>Criar e manter programa de desenvolvimento de lideranças visando ampliar as capacidades de gestão.</v>
      </c>
      <c r="E27" s="202" t="str">
        <f aca="false">IFERROR(__xludf.dummyfunction("""COMPUTED_VALUE"""),"PROGEPE")</f>
        <v>PROGEPE</v>
      </c>
      <c r="F27" s="203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</row>
    <row r="28" customFormat="false" ht="15" hidden="false" customHeight="false" outlineLevel="0" collapsed="false">
      <c r="A28" s="200" t="str">
        <f aca="false">IFERROR(__xludf.dummyfunction("""COMPUTED_VALUE"""),"7.2")</f>
        <v>7.2</v>
      </c>
      <c r="B28" s="201" t="str">
        <f aca="false">IFERROR(__xludf.dummyfunction("""COMPUTED_VALUE"""),"Estimular ações visando a melhoria dos relacionamentos interpessoais, comunicação interna e atitudes éticas no dia-a-dia.")</f>
        <v>Estimular ações visando a melhoria dos relacionamentos interpessoais, comunicação interna e atitudes éticas no dia-a-dia.</v>
      </c>
      <c r="C28" s="202" t="n">
        <f aca="false">IFERROR(__xludf.dummyfunction("""COMPUTED_VALUE"""),7)</f>
        <v>7</v>
      </c>
      <c r="D28" s="201" t="str">
        <f aca="false">IFERROR(__xludf.dummyfunction("""COMPUTED_VALUE"""),"Criar e manter programa de desenvolvimento de lideranças visando ampliar as capacidades de gestão.")</f>
        <v>Criar e manter programa de desenvolvimento de lideranças visando ampliar as capacidades de gestão.</v>
      </c>
      <c r="E28" s="202" t="str">
        <f aca="false">IFERROR(__xludf.dummyfunction("""COMPUTED_VALUE"""),"PROGEPE")</f>
        <v>PROGEPE</v>
      </c>
      <c r="F28" s="203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</row>
    <row r="29" customFormat="false" ht="15" hidden="false" customHeight="false" outlineLevel="0" collapsed="false">
      <c r="A29" s="200" t="str">
        <f aca="false">IFERROR(__xludf.dummyfunction("""COMPUTED_VALUE"""),"7.3")</f>
        <v>7.3</v>
      </c>
      <c r="B29" s="201" t="str">
        <f aca="false">IFERROR(__xludf.dummyfunction("""COMPUTED_VALUE"""),"Definir políticas que prevejam critérios objetivos para a escolha de gestores com base em habilidades e competências.")</f>
        <v>Definir políticas que prevejam critérios objetivos para a escolha de gestores com base em habilidades e competências.</v>
      </c>
      <c r="C29" s="202" t="n">
        <f aca="false">IFERROR(__xludf.dummyfunction("""COMPUTED_VALUE"""),7)</f>
        <v>7</v>
      </c>
      <c r="D29" s="201" t="str">
        <f aca="false">IFERROR(__xludf.dummyfunction("""COMPUTED_VALUE"""),"Criar e manter programa de desenvolvimento de lideranças visando ampliar as capacidades de gestão.")</f>
        <v>Criar e manter programa de desenvolvimento de lideranças visando ampliar as capacidades de gestão.</v>
      </c>
      <c r="E29" s="202" t="str">
        <f aca="false">IFERROR(__xludf.dummyfunction("""COMPUTED_VALUE"""),"PROGEPE")</f>
        <v>PROGEPE</v>
      </c>
      <c r="F29" s="203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</row>
    <row r="30" customFormat="false" ht="15" hidden="false" customHeight="false" outlineLevel="0" collapsed="false">
      <c r="A30" s="200" t="str">
        <f aca="false">IFERROR(__xludf.dummyfunction("""COMPUTED_VALUE"""),"8.1")</f>
        <v>8.1</v>
      </c>
      <c r="B30" s="201" t="str">
        <f aca="false">IFERROR(__xludf.dummyfunction("""COMPUTED_VALUE"""),"Formação continuada nas áreas pedagógicas, incluindo metodologias ativas e uso das TICs em sala de aula e práticas interculturais plurilíngues.")</f>
        <v>Formação continuada nas áreas pedagógicas, incluindo metodologias ativas e uso das TICs em sala de aula e práticas interculturais plurilíngues.</v>
      </c>
      <c r="C30" s="202" t="n">
        <f aca="false">IFERROR(__xludf.dummyfunction("""COMPUTED_VALUE"""),8)</f>
        <v>8</v>
      </c>
      <c r="D30" s="201" t="str">
        <f aca="false">IFERROR(__xludf.dummyfunction("""COMPUTED_VALUE"""),"Criar política de desenvolvimento para a carreira docente.")</f>
        <v>Criar política de desenvolvimento para a carreira docente.</v>
      </c>
      <c r="E30" s="202" t="str">
        <f aca="false">IFERROR(__xludf.dummyfunction("""COMPUTED_VALUE"""),"PROGEPE")</f>
        <v>PROGEPE</v>
      </c>
      <c r="F30" s="203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</row>
    <row r="31" customFormat="false" ht="15" hidden="false" customHeight="false" outlineLevel="0" collapsed="false">
      <c r="A31" s="200" t="str">
        <f aca="false">IFERROR(__xludf.dummyfunction("""COMPUTED_VALUE"""),"8.2")</f>
        <v>8.2</v>
      </c>
      <c r="B31" s="201" t="str">
        <f aca="false">IFERROR(__xludf.dummyfunction("""COMPUTED_VALUE"""),"Criar critérios para viabilizar o afastamento para capacitação e qualificação docente.")</f>
        <v>Criar critérios para viabilizar o afastamento para capacitação e qualificação docente.</v>
      </c>
      <c r="C31" s="202" t="n">
        <f aca="false">IFERROR(__xludf.dummyfunction("""COMPUTED_VALUE"""),8)</f>
        <v>8</v>
      </c>
      <c r="D31" s="201" t="str">
        <f aca="false">IFERROR(__xludf.dummyfunction("""COMPUTED_VALUE"""),"Criar política de desenvolvimento para a carreira docente.")</f>
        <v>Criar política de desenvolvimento para a carreira docente.</v>
      </c>
      <c r="E31" s="202" t="str">
        <f aca="false">IFERROR(__xludf.dummyfunction("""COMPUTED_VALUE"""),"PROGEPE")</f>
        <v>PROGEPE</v>
      </c>
      <c r="F31" s="203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</row>
    <row r="32" customFormat="false" ht="15" hidden="false" customHeight="false" outlineLevel="0" collapsed="false">
      <c r="A32" s="200" t="str">
        <f aca="false">IFERROR(__xludf.dummyfunction("""COMPUTED_VALUE"""),"8.3")</f>
        <v>8.3</v>
      </c>
      <c r="B32" s="201" t="str">
        <f aca="false">IFERROR(__xludf.dummyfunction("""COMPUTED_VALUE"""),"Oportunizar capacitação específica para a gestão de cursos de graduação e pós-graduação.")</f>
        <v>Oportunizar capacitação específica para a gestão de cursos de graduação e pós-graduação.</v>
      </c>
      <c r="C32" s="202" t="n">
        <f aca="false">IFERROR(__xludf.dummyfunction("""COMPUTED_VALUE"""),8)</f>
        <v>8</v>
      </c>
      <c r="D32" s="201" t="str">
        <f aca="false">IFERROR(__xludf.dummyfunction("""COMPUTED_VALUE"""),"Criar política de desenvolvimento para a carreira docente.")</f>
        <v>Criar política de desenvolvimento para a carreira docente.</v>
      </c>
      <c r="E32" s="202" t="str">
        <f aca="false">IFERROR(__xludf.dummyfunction("""COMPUTED_VALUE"""),"PROGEPE")</f>
        <v>PROGEPE</v>
      </c>
      <c r="F32" s="203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</row>
    <row r="33" customFormat="false" ht="15" hidden="false" customHeight="false" outlineLevel="0" collapsed="false">
      <c r="A33" s="200" t="str">
        <f aca="false">IFERROR(__xludf.dummyfunction("""COMPUTED_VALUE"""),"9.1")</f>
        <v>9.1</v>
      </c>
      <c r="B33" s="201" t="str">
        <f aca="false">IFERROR(__xludf.dummyfunction("""COMPUTED_VALUE"""),"Promover a integração e capacitação de novos servidores na unidade.")</f>
        <v>Promover a integração e capacitação de novos servidores na unidade.</v>
      </c>
      <c r="C33" s="202" t="n">
        <f aca="false">IFERROR(__xludf.dummyfunction("""COMPUTED_VALUE"""),9)</f>
        <v>9</v>
      </c>
      <c r="D33" s="201" t="str">
        <f aca="false">IFERROR(__xludf.dummyfunction("""COMPUTED_VALUE"""),"Identificar a capacidade de trabalho e perfil das equipes, bem como o volume de atividades das unidades e suas características a fim de direcionar a força de trabalho.")</f>
        <v>Identificar a capacidade de trabalho e perfil das equipes, bem como o volume de atividades das unidades e suas características a fim de direcionar a força de trabalho.</v>
      </c>
      <c r="E33" s="202" t="str">
        <f aca="false">IFERROR(__xludf.dummyfunction("""COMPUTED_VALUE"""),"PROGEPE")</f>
        <v>PROGEPE</v>
      </c>
      <c r="F33" s="203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</row>
    <row r="34" customFormat="false" ht="15" hidden="false" customHeight="false" outlineLevel="0" collapsed="false">
      <c r="A34" s="200" t="str">
        <f aca="false">IFERROR(__xludf.dummyfunction("""COMPUTED_VALUE"""),"9.2")</f>
        <v>9.2</v>
      </c>
      <c r="B34" s="201" t="str">
        <f aca="false">IFERROR(__xludf.dummyfunction("""COMPUTED_VALUE"""),"Identificar e padronizar os procedimentos internos das unidades.")</f>
        <v>Identificar e padronizar os procedimentos internos das unidades.</v>
      </c>
      <c r="C34" s="202" t="n">
        <f aca="false">IFERROR(__xludf.dummyfunction("""COMPUTED_VALUE"""),9)</f>
        <v>9</v>
      </c>
      <c r="D34" s="201" t="str">
        <f aca="false">IFERROR(__xludf.dummyfunction("""COMPUTED_VALUE"""),"Identificar a capacidade de trabalho e perfil das equipes, bem como o volume de atividades das unidades e suas características a fim de direcionar a força de trabalho.")</f>
        <v>Identificar a capacidade de trabalho e perfil das equipes, bem como o volume de atividades das unidades e suas características a fim de direcionar a força de trabalho.</v>
      </c>
      <c r="E34" s="202" t="str">
        <f aca="false">IFERROR(__xludf.dummyfunction("""COMPUTED_VALUE"""),"PROGEPE")</f>
        <v>PROGEPE</v>
      </c>
      <c r="F34" s="203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</row>
    <row r="35" customFormat="false" ht="15" hidden="false" customHeight="false" outlineLevel="0" collapsed="false">
      <c r="A35" s="200" t="str">
        <f aca="false">IFERROR(__xludf.dummyfunction("""COMPUTED_VALUE"""),"9.3")</f>
        <v>9.3</v>
      </c>
      <c r="B35" s="201" t="str">
        <f aca="false">IFERROR(__xludf.dummyfunction("""COMPUTED_VALUE"""),"Propiciar a alocação dos recursos humanos em razão de suas competências.")</f>
        <v>Propiciar a alocação dos recursos humanos em razão de suas competências.</v>
      </c>
      <c r="C35" s="202" t="n">
        <f aca="false">IFERROR(__xludf.dummyfunction("""COMPUTED_VALUE"""),9)</f>
        <v>9</v>
      </c>
      <c r="D35" s="201" t="str">
        <f aca="false">IFERROR(__xludf.dummyfunction("""COMPUTED_VALUE"""),"Identificar a capacidade de trabalho e perfil das equipes, bem como o volume de atividades das unidades e suas características a fim de direcionar a força de trabalho.")</f>
        <v>Identificar a capacidade de trabalho e perfil das equipes, bem como o volume de atividades das unidades e suas características a fim de direcionar a força de trabalho.</v>
      </c>
      <c r="E35" s="202" t="str">
        <f aca="false">IFERROR(__xludf.dummyfunction("""COMPUTED_VALUE"""),"PROGEPE")</f>
        <v>PROGEPE</v>
      </c>
      <c r="F35" s="203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</row>
    <row r="36" customFormat="false" ht="15" hidden="false" customHeight="false" outlineLevel="0" collapsed="false">
      <c r="A36" s="200" t="str">
        <f aca="false">IFERROR(__xludf.dummyfunction("""COMPUTED_VALUE"""),"10.1")</f>
        <v>10.1</v>
      </c>
      <c r="B36" s="201" t="str">
        <f aca="false">IFERROR(__xludf.dummyfunction("""COMPUTED_VALUE"""),"Criar espaços de discussão e fomentar o diálogo transparente entre equipes e gestores.")</f>
        <v>Criar espaços de discussão e fomentar o diálogo transparente entre equipes e gestores.</v>
      </c>
      <c r="C36" s="202" t="n">
        <f aca="false">IFERROR(__xludf.dummyfunction("""COMPUTED_VALUE"""),10)</f>
        <v>10</v>
      </c>
      <c r="D36" s="201" t="str">
        <f aca="false">IFERROR(__xludf.dummyfunction("""COMPUTED_VALUE"""),"Elaborar uma política de desenvolvimento de pessoal eficiente e eficaz para atender as necessidades e características da UNILA.")</f>
        <v>Elaborar uma política de desenvolvimento de pessoal eficiente e eficaz para atender as necessidades e características da UNILA.</v>
      </c>
      <c r="E36" s="202" t="str">
        <f aca="false">IFERROR(__xludf.dummyfunction("""COMPUTED_VALUE"""),"PROGEPE")</f>
        <v>PROGEPE</v>
      </c>
      <c r="F36" s="203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</row>
    <row r="37" customFormat="false" ht="15" hidden="false" customHeight="false" outlineLevel="0" collapsed="false">
      <c r="A37" s="200" t="str">
        <f aca="false">IFERROR(__xludf.dummyfunction("""COMPUTED_VALUE"""),"10.2")</f>
        <v>10.2</v>
      </c>
      <c r="B37" s="201" t="str">
        <f aca="false">IFERROR(__xludf.dummyfunction("""COMPUTED_VALUE"""),"Aplicar e incentivar as melhores práticas para o desenvolvimento pessoal e profissional dos servidores.")</f>
        <v>Aplicar e incentivar as melhores práticas para o desenvolvimento pessoal e profissional dos servidores.</v>
      </c>
      <c r="C37" s="202" t="n">
        <f aca="false">IFERROR(__xludf.dummyfunction("""COMPUTED_VALUE"""),10)</f>
        <v>10</v>
      </c>
      <c r="D37" s="201" t="str">
        <f aca="false">IFERROR(__xludf.dummyfunction("""COMPUTED_VALUE"""),"Elaborar uma política de desenvolvimento de pessoal eficiente e eficaz para atender as necessidades e características da UNILA.")</f>
        <v>Elaborar uma política de desenvolvimento de pessoal eficiente e eficaz para atender as necessidades e características da UNILA.</v>
      </c>
      <c r="E37" s="202" t="str">
        <f aca="false">IFERROR(__xludf.dummyfunction("""COMPUTED_VALUE"""),"PROGEPE")</f>
        <v>PROGEPE</v>
      </c>
      <c r="F37" s="203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</row>
    <row r="38" customFormat="false" ht="15" hidden="false" customHeight="false" outlineLevel="0" collapsed="false">
      <c r="A38" s="200" t="str">
        <f aca="false">IFERROR(__xludf.dummyfunction("""COMPUTED_VALUE"""),"10.3")</f>
        <v>10.3</v>
      </c>
      <c r="B38" s="201" t="str">
        <f aca="false">IFERROR(__xludf.dummyfunction("""COMPUTED_VALUE"""),"Identificar as características específicas de cada área a fim de adequar a oferta de capacitação e otimizar os recursos.")</f>
        <v>Identificar as características específicas de cada área a fim de adequar a oferta de capacitação e otimizar os recursos.</v>
      </c>
      <c r="C38" s="202" t="n">
        <f aca="false">IFERROR(__xludf.dummyfunction("""COMPUTED_VALUE"""),10)</f>
        <v>10</v>
      </c>
      <c r="D38" s="201" t="str">
        <f aca="false">IFERROR(__xludf.dummyfunction("""COMPUTED_VALUE"""),"Elaborar uma política de desenvolvimento de pessoal eficiente e eficaz para atender as necessidades e características da UNILA.")</f>
        <v>Elaborar uma política de desenvolvimento de pessoal eficiente e eficaz para atender as necessidades e características da UNILA.</v>
      </c>
      <c r="E38" s="202" t="str">
        <f aca="false">IFERROR(__xludf.dummyfunction("""COMPUTED_VALUE"""),"PROGEPE")</f>
        <v>PROGEPE</v>
      </c>
      <c r="F38" s="203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</row>
    <row r="39" customFormat="false" ht="15" hidden="false" customHeight="false" outlineLevel="0" collapsed="false">
      <c r="A39" s="200" t="str">
        <f aca="false">IFERROR(__xludf.dummyfunction("""COMPUTED_VALUE"""),"11.1")</f>
        <v>11.1</v>
      </c>
      <c r="B39" s="201" t="str">
        <f aca="false">IFERROR(__xludf.dummyfunction("""COMPUTED_VALUE"""),"Promover estudos sobre o impacto da falta de docentes.")</f>
        <v>Promover estudos sobre o impacto da falta de docentes.</v>
      </c>
      <c r="C39" s="202" t="n">
        <f aca="false">IFERROR(__xludf.dummyfunction("""COMPUTED_VALUE"""),11)</f>
        <v>11</v>
      </c>
      <c r="D39" s="201" t="str">
        <f aca="false">IFERROR(__xludf.dummyfunction("""COMPUTED_VALUE"""),"Consolidar o quadro de docentes efetivos dos cursos criados em 2015.")</f>
        <v>Consolidar o quadro de docentes efetivos dos cursos criados em 2015.</v>
      </c>
      <c r="E39" s="202" t="str">
        <f aca="false">IFERROR(__xludf.dummyfunction("""COMPUTED_VALUE"""),"REITORIA / PROGEPE / INSTITUTOS")</f>
        <v>REITORIA / PROGEPE / INSTITUTOS</v>
      </c>
      <c r="F39" s="203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</row>
    <row r="40" customFormat="false" ht="15" hidden="false" customHeight="false" outlineLevel="0" collapsed="false">
      <c r="A40" s="200" t="str">
        <f aca="false">IFERROR(__xludf.dummyfunction("""COMPUTED_VALUE"""),"11.2")</f>
        <v>11.2</v>
      </c>
      <c r="B40" s="201" t="str">
        <f aca="false">IFERROR(__xludf.dummyfunction("""COMPUTED_VALUE"""),"Criar critérios para realocação de vagas já existentes e disponíveis na instituição.")</f>
        <v>Criar critérios para realocação de vagas já existentes e disponíveis na instituição.</v>
      </c>
      <c r="C40" s="202" t="n">
        <f aca="false">IFERROR(__xludf.dummyfunction("""COMPUTED_VALUE"""),11)</f>
        <v>11</v>
      </c>
      <c r="D40" s="201" t="str">
        <f aca="false">IFERROR(__xludf.dummyfunction("""COMPUTED_VALUE"""),"Consolidar o quadro de docentes efetivos dos cursos criados em 2015.")</f>
        <v>Consolidar o quadro de docentes efetivos dos cursos criados em 2015.</v>
      </c>
      <c r="E40" s="202" t="str">
        <f aca="false">IFERROR(__xludf.dummyfunction("""COMPUTED_VALUE"""),"REITORIA / PROGEPE / INSTITUTOS")</f>
        <v>REITORIA / PROGEPE / INSTITUTOS</v>
      </c>
      <c r="F40" s="203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</row>
    <row r="41" customFormat="false" ht="15" hidden="false" customHeight="false" outlineLevel="0" collapsed="false">
      <c r="A41" s="200" t="str">
        <f aca="false">IFERROR(__xludf.dummyfunction("""COMPUTED_VALUE"""),"11.3")</f>
        <v>11.3</v>
      </c>
      <c r="B41" s="201" t="str">
        <f aca="false">IFERROR(__xludf.dummyfunction("""COMPUTED_VALUE"""),"Monitorar o processo de pedido de vagas docentes, pautando-o sistematicamente junto ao MEC.")</f>
        <v>Monitorar o processo de pedido de vagas docentes, pautando-o sistematicamente junto ao MEC.</v>
      </c>
      <c r="C41" s="202" t="n">
        <f aca="false">IFERROR(__xludf.dummyfunction("""COMPUTED_VALUE"""),11)</f>
        <v>11</v>
      </c>
      <c r="D41" s="201" t="str">
        <f aca="false">IFERROR(__xludf.dummyfunction("""COMPUTED_VALUE"""),"Consolidar o quadro de docentes efetivos dos cursos criados em 2015.")</f>
        <v>Consolidar o quadro de docentes efetivos dos cursos criados em 2015.</v>
      </c>
      <c r="E41" s="202" t="str">
        <f aca="false">IFERROR(__xludf.dummyfunction("""COMPUTED_VALUE"""),"REITORIA / PROGEPE / INSTITUTOS")</f>
        <v>REITORIA / PROGEPE / INSTITUTOS</v>
      </c>
      <c r="F41" s="203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</row>
    <row r="42" customFormat="false" ht="15" hidden="false" customHeight="false" outlineLevel="0" collapsed="false">
      <c r="A42" s="200" t="str">
        <f aca="false">IFERROR(__xludf.dummyfunction("""COMPUTED_VALUE"""),"12.1")</f>
        <v>12.1</v>
      </c>
      <c r="B42" s="201" t="str">
        <f aca="false">IFERROR(__xludf.dummyfunction("""COMPUTED_VALUE"""),"Promover a aproximação com a comunidade do Oeste do Paraná, Província de Misiones/AR e Departamento del Alto Parana/PY, alinhada às ações de ensino, pesquisa e extensão que contemplem os anseios da população;")</f>
        <v>Promover a aproximação com a comunidade do Oeste do Paraná, Província de Misiones/AR e Departamento del Alto Parana/PY, alinhada às ações de ensino, pesquisa e extensão que contemplem os anseios da população;</v>
      </c>
      <c r="C42" s="202" t="n">
        <f aca="false">IFERROR(__xludf.dummyfunction("""COMPUTED_VALUE"""),12)</f>
        <v>12</v>
      </c>
      <c r="D42" s="201" t="str">
        <f aca="false">IFERROR(__xludf.dummyfunction("""COMPUTED_VALUE"""),"Consolidar a identidade e a imagem da UNILA")</f>
        <v>Consolidar a identidade e a imagem da UNILA</v>
      </c>
      <c r="E42" s="202" t="str">
        <f aca="false">IFERROR(__xludf.dummyfunction("""COMPUTED_VALUE"""),"SECOM")</f>
        <v>SECOM</v>
      </c>
      <c r="F42" s="203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</row>
    <row r="43" customFormat="false" ht="15" hidden="false" customHeight="false" outlineLevel="0" collapsed="false">
      <c r="A43" s="200" t="str">
        <f aca="false">IFERROR(__xludf.dummyfunction("""COMPUTED_VALUE"""),"12.2")</f>
        <v>12.2</v>
      </c>
      <c r="B43" s="201" t="str">
        <f aca="false">IFERROR(__xludf.dummyfunction("""COMPUTED_VALUE"""),"Difundir o conhecimento produzido por meio de ações de comunicação social;")</f>
        <v>Difundir o conhecimento produzido por meio de ações de comunicação social;</v>
      </c>
      <c r="C43" s="202" t="n">
        <f aca="false">IFERROR(__xludf.dummyfunction("""COMPUTED_VALUE"""),12)</f>
        <v>12</v>
      </c>
      <c r="D43" s="201" t="str">
        <f aca="false">IFERROR(__xludf.dummyfunction("""COMPUTED_VALUE"""),"Consolidar a identidade e a imagem da UNILA")</f>
        <v>Consolidar a identidade e a imagem da UNILA</v>
      </c>
      <c r="E43" s="202" t="str">
        <f aca="false">IFERROR(__xludf.dummyfunction("""COMPUTED_VALUE"""),"SECOM")</f>
        <v>SECOM</v>
      </c>
      <c r="F43" s="203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</row>
    <row r="44" customFormat="false" ht="15" hidden="false" customHeight="false" outlineLevel="0" collapsed="false">
      <c r="A44" s="200" t="str">
        <f aca="false">IFERROR(__xludf.dummyfunction("""COMPUTED_VALUE"""),"12.3")</f>
        <v>12.3</v>
      </c>
      <c r="B44" s="201" t="str">
        <f aca="false">IFERROR(__xludf.dummyfunction("""COMPUTED_VALUE"""),"Desenvolver, em parceria com a área de Gestão de Pessoas, ações que fortaleçam a percepção sobre a missão, visão, valores e diretrizes estratégicas de modo a aperfeiçoar a cultura e o clima organizacional;")</f>
        <v>Desenvolver, em parceria com a área de Gestão de Pessoas, ações que fortaleçam a percepção sobre a missão, visão, valores e diretrizes estratégicas de modo a aperfeiçoar a cultura e o clima organizacional;</v>
      </c>
      <c r="C44" s="202" t="n">
        <f aca="false">IFERROR(__xludf.dummyfunction("""COMPUTED_VALUE"""),12)</f>
        <v>12</v>
      </c>
      <c r="D44" s="201" t="str">
        <f aca="false">IFERROR(__xludf.dummyfunction("""COMPUTED_VALUE"""),"Consolidar a identidade e a imagem da UNILA")</f>
        <v>Consolidar a identidade e a imagem da UNILA</v>
      </c>
      <c r="E44" s="202" t="str">
        <f aca="false">IFERROR(__xludf.dummyfunction("""COMPUTED_VALUE"""),"SECOM")</f>
        <v>SECOM</v>
      </c>
      <c r="F44" s="203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</row>
    <row r="45" customFormat="false" ht="15" hidden="false" customHeight="false" outlineLevel="0" collapsed="false">
      <c r="A45" s="200" t="str">
        <f aca="false">IFERROR(__xludf.dummyfunction("""COMPUTED_VALUE"""),"12.4")</f>
        <v>12.4</v>
      </c>
      <c r="B45" s="201" t="str">
        <f aca="false">IFERROR(__xludf.dummyfunction("""COMPUTED_VALUE"""),"Estruturar a comunicação interna da Universidade, por meio de soluções tecnológicas em parceria com a unidade de Tecnologia da Informação.")</f>
        <v>Estruturar a comunicação interna da Universidade, por meio de soluções tecnológicas em parceria com a unidade de Tecnologia da Informação.</v>
      </c>
      <c r="C45" s="202" t="n">
        <f aca="false">IFERROR(__xludf.dummyfunction("""COMPUTED_VALUE"""),12)</f>
        <v>12</v>
      </c>
      <c r="D45" s="201" t="str">
        <f aca="false">IFERROR(__xludf.dummyfunction("""COMPUTED_VALUE"""),"Consolidar a identidade e a imagem da UNILA")</f>
        <v>Consolidar a identidade e a imagem da UNILA</v>
      </c>
      <c r="E45" s="202" t="str">
        <f aca="false">IFERROR(__xludf.dummyfunction("""COMPUTED_VALUE"""),"SECOM")</f>
        <v>SECOM</v>
      </c>
      <c r="F45" s="203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</row>
    <row r="46" customFormat="false" ht="15" hidden="false" customHeight="false" outlineLevel="0" collapsed="false">
      <c r="A46" s="200" t="str">
        <f aca="false">IFERROR(__xludf.dummyfunction("""COMPUTED_VALUE"""),"13.1")</f>
        <v>13.1</v>
      </c>
      <c r="B46" s="201" t="str">
        <f aca="false">IFERROR(__xludf.dummyfunction("""COMPUTED_VALUE"""),"Promover cursos, ações de extensão, eventos, seminários, simpósios de discussão, entre outros, abertos à comunidade interna e externa, visando a superação de barreiras arquitetônicas, comunicacionais, educacionais e atitudinais")</f>
        <v>Promover cursos, ações de extensão, eventos, seminários, simpósios de discussão, entre outros, abertos à comunidade interna e externa, visando a superação de barreiras arquitetônicas, comunicacionais, educacionais e atitudinais</v>
      </c>
      <c r="C46" s="202" t="n">
        <f aca="false">IFERROR(__xludf.dummyfunction("""COMPUTED_VALUE"""),13)</f>
        <v>13</v>
      </c>
      <c r="D46" s="201" t="str">
        <f aca="false">IFERROR(__xludf.dummyfunction("""COMPUTED_VALUE"""),"Regulamentar a política de acessibilidade e de inclusão da UNILA")</f>
        <v>Regulamentar a política de acessibilidade e de inclusão da UNILA</v>
      </c>
      <c r="E46" s="202" t="str">
        <f aca="false">IFERROR(__xludf.dummyfunction("""COMPUTED_VALUE"""),"PROGRAD / PRPPG / PROEX / PRAE / PROGEPE")</f>
        <v>PROGRAD / PRPPG / PROEX / PRAE / PROGEPE</v>
      </c>
      <c r="F46" s="203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</row>
    <row r="47" customFormat="false" ht="15" hidden="false" customHeight="false" outlineLevel="0" collapsed="false">
      <c r="A47" s="200" t="str">
        <f aca="false">IFERROR(__xludf.dummyfunction("""COMPUTED_VALUE"""),"13.2")</f>
        <v>13.2</v>
      </c>
      <c r="B47" s="201" t="str">
        <f aca="false">IFERROR(__xludf.dummyfunction("""COMPUTED_VALUE"""),"Normatizar e Publicizar fluxos e processos de acesso, permanência e proteção de direitos de servidores (as) e de estudantes negros (as) indígenas, refugiados (as), portadores (as) de visto humanitário e comunidade LGBTI+")</f>
        <v>Normatizar e Publicizar fluxos e processos de acesso, permanência e proteção de direitos de servidores (as) e de estudantes negros (as) indígenas, refugiados (as), portadores (as) de visto humanitário e comunidade LGBTI+</v>
      </c>
      <c r="C47" s="202" t="n">
        <f aca="false">IFERROR(__xludf.dummyfunction("""COMPUTED_VALUE"""),13)</f>
        <v>13</v>
      </c>
      <c r="D47" s="201" t="str">
        <f aca="false">IFERROR(__xludf.dummyfunction("""COMPUTED_VALUE"""),"Regulamentar a política de acessibilidade e de inclusão da UNILA")</f>
        <v>Regulamentar a política de acessibilidade e de inclusão da UNILA</v>
      </c>
      <c r="E47" s="202" t="str">
        <f aca="false">IFERROR(__xludf.dummyfunction("""COMPUTED_VALUE"""),"PROGRAD / PRPPG / PROEX / PRAE / PROGEPE")</f>
        <v>PROGRAD / PRPPG / PROEX / PRAE / PROGEPE</v>
      </c>
      <c r="F47" s="203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</row>
    <row r="48" customFormat="false" ht="15" hidden="false" customHeight="false" outlineLevel="0" collapsed="false">
      <c r="A48" s="200" t="str">
        <f aca="false">IFERROR(__xludf.dummyfunction("""COMPUTED_VALUE"""),"14.1")</f>
        <v>14.1</v>
      </c>
      <c r="B48" s="201" t="str">
        <f aca="false">IFERROR(__xludf.dummyfunction("""COMPUTED_VALUE"""),"Implementar e institucionalizar a política de equidade de gênero da UNILA, por meio da criação de uma unidade administrativa.")</f>
        <v>Implementar e institucionalizar a política de equidade de gênero da UNILA, por meio da criação de uma unidade administrativa.</v>
      </c>
      <c r="C48" s="202" t="n">
        <f aca="false">IFERROR(__xludf.dummyfunction("""COMPUTED_VALUE"""),14)</f>
        <v>14</v>
      </c>
      <c r="D48" s="201" t="str">
        <f aca="false">IFERROR(__xludf.dummyfunction("""COMPUTED_VALUE"""),"Estabelecer uma cultura de combate ao preconceito, a discriminação e as violências de gênero")</f>
        <v>Estabelecer uma cultura de combate ao preconceito, a discriminação e as violências de gênero</v>
      </c>
      <c r="E48" s="202" t="str">
        <f aca="false">IFERROR(__xludf.dummyfunction("""COMPUTED_VALUE"""),"REITORIA / OUVIDORIA / CORREGEDORIA / INSTITUTOS")</f>
        <v>REITORIA / OUVIDORIA / CORREGEDORIA / INSTITUTOS</v>
      </c>
      <c r="F48" s="203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</row>
    <row r="49" customFormat="false" ht="15" hidden="false" customHeight="false" outlineLevel="0" collapsed="false">
      <c r="A49" s="200" t="str">
        <f aca="false">IFERROR(__xludf.dummyfunction("""COMPUTED_VALUE"""),"14.2")</f>
        <v>14.2</v>
      </c>
      <c r="B49" s="201" t="str">
        <f aca="false">IFERROR(__xludf.dummyfunction("""COMPUTED_VALUE"""),"Normatizar e Publicizar fluxos e procedimentos que permitam a denúncia, a visibilidade e o tratamento de episódios diretamente ligados às questões de gênero, diversidade, assédio ou qualquer outra forma de violência e/ou preconceito.")</f>
        <v>Normatizar e Publicizar fluxos e procedimentos que permitam a denúncia, a visibilidade e o tratamento de episódios diretamente ligados às questões de gênero, diversidade, assédio ou qualquer outra forma de violência e/ou preconceito.</v>
      </c>
      <c r="C49" s="202" t="n">
        <f aca="false">IFERROR(__xludf.dummyfunction("""COMPUTED_VALUE"""),14)</f>
        <v>14</v>
      </c>
      <c r="D49" s="201" t="str">
        <f aca="false">IFERROR(__xludf.dummyfunction("""COMPUTED_VALUE"""),"Estabelecer uma cultura de combate ao preconceito, a discriminação e as violências de gênero")</f>
        <v>Estabelecer uma cultura de combate ao preconceito, a discriminação e as violências de gênero</v>
      </c>
      <c r="E49" s="202" t="str">
        <f aca="false">IFERROR(__xludf.dummyfunction("""COMPUTED_VALUE"""),"REITORIA / OUVIDORIA / CORREGEDORIA / INSTITUTOS")</f>
        <v>REITORIA / OUVIDORIA / CORREGEDORIA / INSTITUTOS</v>
      </c>
      <c r="F49" s="203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</row>
    <row r="50" customFormat="false" ht="15" hidden="false" customHeight="false" outlineLevel="0" collapsed="false">
      <c r="A50" s="200" t="str">
        <f aca="false">IFERROR(__xludf.dummyfunction("""COMPUTED_VALUE"""),"14.3")</f>
        <v>14.3</v>
      </c>
      <c r="B50" s="201" t="str">
        <f aca="false">IFERROR(__xludf.dummyfunction("""COMPUTED_VALUE"""),"Fomentar ações que valorizem e fortaleçam a coletividade, a alteridade, o acolhimento e o respeito incondicional à dignidade humana.")</f>
        <v>Fomentar ações que valorizem e fortaleçam a coletividade, a alteridade, o acolhimento e o respeito incondicional à dignidade humana.</v>
      </c>
      <c r="C50" s="202" t="n">
        <f aca="false">IFERROR(__xludf.dummyfunction("""COMPUTED_VALUE"""),14)</f>
        <v>14</v>
      </c>
      <c r="D50" s="201" t="str">
        <f aca="false">IFERROR(__xludf.dummyfunction("""COMPUTED_VALUE"""),"Estabelecer uma cultura de combate ao preconceito, a discriminação e as violências de gênero")</f>
        <v>Estabelecer uma cultura de combate ao preconceito, a discriminação e as violências de gênero</v>
      </c>
      <c r="E50" s="202" t="str">
        <f aca="false">IFERROR(__xludf.dummyfunction("""COMPUTED_VALUE"""),"REITORIA / OUVIDORIA / CORREGEDORIA / INSTITUTOS")</f>
        <v>REITORIA / OUVIDORIA / CORREGEDORIA / INSTITUTOS</v>
      </c>
      <c r="F50" s="203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</row>
    <row r="51" customFormat="false" ht="15" hidden="false" customHeight="false" outlineLevel="0" collapsed="false">
      <c r="A51" s="200" t="str">
        <f aca="false">IFERROR(__xludf.dummyfunction("""COMPUTED_VALUE"""),"15.1")</f>
        <v>15.1</v>
      </c>
      <c r="B51" s="201" t="str">
        <f aca="false">IFERROR(__xludf.dummyfunction("""COMPUTED_VALUE"""),"Instituir um programa de atendimento estudantil na Universidade, de caráter interdisciplinar e intersetorial, abarcando os eixos destacados no PDI")</f>
        <v>Instituir um programa de atendimento estudantil na Universidade, de caráter interdisciplinar e intersetorial, abarcando os eixos destacados no PDI</v>
      </c>
      <c r="C51" s="202" t="n">
        <f aca="false">IFERROR(__xludf.dummyfunction("""COMPUTED_VALUE"""),15)</f>
        <v>15</v>
      </c>
      <c r="D51" s="201" t="str">
        <f aca="false">IFERROR(__xludf.dummyfunction("""COMPUTED_VALUE"""),"Institucionalizar a política de atendimento estudantil da UNILA")</f>
        <v>Institucionalizar a política de atendimento estudantil da UNILA</v>
      </c>
      <c r="E51" s="202" t="str">
        <f aca="false">IFERROR(__xludf.dummyfunction("""COMPUTED_VALUE"""),"PRÓ-REITORIAS / INSTITUTOS / REPRESENTAÇÃO ESTUDANTIL")</f>
        <v>PRÓ-REITORIAS / INSTITUTOS / REPRESENTAÇÃO ESTUDANTIL</v>
      </c>
      <c r="F51" s="203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</row>
    <row r="52" customFormat="false" ht="15" hidden="false" customHeight="false" outlineLevel="0" collapsed="false">
      <c r="A52" s="200" t="str">
        <f aca="false">IFERROR(__xludf.dummyfunction("""COMPUTED_VALUE"""),"15.2")</f>
        <v>15.2</v>
      </c>
      <c r="B52" s="201" t="str">
        <f aca="false">IFERROR(__xludf.dummyfunction("""COMPUTED_VALUE"""),"Aprimorar a comunicação institucional com os(as) discentes")</f>
        <v>Aprimorar a comunicação institucional com os(as) discentes</v>
      </c>
      <c r="C52" s="202" t="n">
        <f aca="false">IFERROR(__xludf.dummyfunction("""COMPUTED_VALUE"""),15)</f>
        <v>15</v>
      </c>
      <c r="D52" s="201" t="str">
        <f aca="false">IFERROR(__xludf.dummyfunction("""COMPUTED_VALUE"""),"Institucionalizar a política de atendimento estudantil da UNILA")</f>
        <v>Institucionalizar a política de atendimento estudantil da UNILA</v>
      </c>
      <c r="E52" s="202" t="str">
        <f aca="false">IFERROR(__xludf.dummyfunction("""COMPUTED_VALUE"""),"PRÓ-REITORIAS / INSTITUTOS / REPRESENTAÇÃO ESTUDANTIL")</f>
        <v>PRÓ-REITORIAS / INSTITUTOS / REPRESENTAÇÃO ESTUDANTIL</v>
      </c>
      <c r="F52" s="203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</row>
    <row r="53" customFormat="false" ht="15" hidden="false" customHeight="false" outlineLevel="0" collapsed="false">
      <c r="A53" s="200" t="str">
        <f aca="false">IFERROR(__xludf.dummyfunction("""COMPUTED_VALUE"""),"15.3")</f>
        <v>15.3</v>
      </c>
      <c r="B53" s="201" t="str">
        <f aca="false">IFERROR(__xludf.dummyfunction("""COMPUTED_VALUE"""),"Atuar junto às instâncias superiores pertinentes para a captação de recursos que permitam a ampliação da cobertura de auxílios de assistência estudantil, bem como para a construção de infraestrutura permanente de apoio discente, a exemplo do restaurante u"&amp;"niversitário, alojamentos e espaços culturais, de esporte e de lazer.")</f>
        <v>Atuar junto às instâncias superiores pertinentes para a captação de recursos que permitam a ampliação da cobertura de auxílios de assistência estudantil, bem como para a construção de infraestrutura permanente de apoio discente, a exemplo do restaurante universitário, alojamentos e espaços culturais, de esporte e de lazer.</v>
      </c>
      <c r="C53" s="202" t="n">
        <f aca="false">IFERROR(__xludf.dummyfunction("""COMPUTED_VALUE"""),15)</f>
        <v>15</v>
      </c>
      <c r="D53" s="201" t="str">
        <f aca="false">IFERROR(__xludf.dummyfunction("""COMPUTED_VALUE"""),"Institucionalizar a política de atendimento estudantil da UNILA")</f>
        <v>Institucionalizar a política de atendimento estudantil da UNILA</v>
      </c>
      <c r="E53" s="202" t="str">
        <f aca="false">IFERROR(__xludf.dummyfunction("""COMPUTED_VALUE"""),"PRÓ-REITORIAS / INSTITUTOS / REPRESENTAÇÃO ESTUDANTIL")</f>
        <v>PRÓ-REITORIAS / INSTITUTOS / REPRESENTAÇÃO ESTUDANTIL</v>
      </c>
      <c r="F53" s="203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customFormat="false" ht="15" hidden="false" customHeight="false" outlineLevel="0" collapsed="false">
      <c r="A54" s="200" t="str">
        <f aca="false">IFERROR(__xludf.dummyfunction("""COMPUTED_VALUE"""),"15.4")</f>
        <v>15.4</v>
      </c>
      <c r="B54" s="201" t="str">
        <f aca="false">IFERROR(__xludf.dummyfunction("""COMPUTED_VALUE"""),"Fortalecer a interface com serviços públicos quanto ao atendimento estudantil")</f>
        <v>Fortalecer a interface com serviços públicos quanto ao atendimento estudantil</v>
      </c>
      <c r="C54" s="202" t="n">
        <f aca="false">IFERROR(__xludf.dummyfunction("""COMPUTED_VALUE"""),15)</f>
        <v>15</v>
      </c>
      <c r="D54" s="201" t="str">
        <f aca="false">IFERROR(__xludf.dummyfunction("""COMPUTED_VALUE"""),"Institucionalizar a política de atendimento estudantil da UNILA")</f>
        <v>Institucionalizar a política de atendimento estudantil da UNILA</v>
      </c>
      <c r="E54" s="202" t="str">
        <f aca="false">IFERROR(__xludf.dummyfunction("""COMPUTED_VALUE"""),"PRÓ-REITORIAS / INSTITUTOS / REPRESENTAÇÃO ESTUDANTIL")</f>
        <v>PRÓ-REITORIAS / INSTITUTOS / REPRESENTAÇÃO ESTUDANTIL</v>
      </c>
      <c r="F54" s="203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</row>
    <row r="55" customFormat="false" ht="15" hidden="false" customHeight="false" outlineLevel="0" collapsed="false">
      <c r="A55" s="200" t="str">
        <f aca="false">IFERROR(__xludf.dummyfunction("""COMPUTED_VALUE"""),"16.1")</f>
        <v>16.1</v>
      </c>
      <c r="B55" s="201" t="str">
        <f aca="false">IFERROR(__xludf.dummyfunction("""COMPUTED_VALUE"""),"Valorizar a atividade de pesquisa, promovendo a cultura científica e a complementaridade entre graduação e pós-graduação;")</f>
        <v>Valorizar a atividade de pesquisa, promovendo a cultura científica e a complementaridade entre graduação e pós-graduação;</v>
      </c>
      <c r="C55" s="202" t="n">
        <f aca="false">IFERROR(__xludf.dummyfunction("""COMPUTED_VALUE"""),16)</f>
        <v>16</v>
      </c>
      <c r="D55" s="201" t="str">
        <f aca="false">IFERROR(__xludf.dummyfunction("""COMPUTED_VALUE"""),"Criar e consolidar Programas de Pós-graduação com cursos em nível de Mestrado e Doutorado propiciando a verticalização do ensino.")</f>
        <v>Criar e consolidar Programas de Pós-graduação com cursos em nível de Mestrado e Doutorado propiciando a verticalização do ensino.</v>
      </c>
      <c r="E55" s="202" t="str">
        <f aca="false">IFERROR(__xludf.dummyfunction("""COMPUTED_VALUE"""),"ILAACH / ILAESP / ILATIT / ILACVN")</f>
        <v>ILAACH / ILAESP / ILATIT / ILACVN</v>
      </c>
      <c r="F55" s="203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</row>
    <row r="56" customFormat="false" ht="15" hidden="false" customHeight="false" outlineLevel="0" collapsed="false">
      <c r="A56" s="200" t="str">
        <f aca="false">IFERROR(__xludf.dummyfunction("""COMPUTED_VALUE"""),"16.2")</f>
        <v>16.2</v>
      </c>
      <c r="B56" s="201" t="str">
        <f aca="false">IFERROR(__xludf.dummyfunction("""COMPUTED_VALUE"""),"Gerar plenas condições de trabalho acadêmico dos programas existentes, aprimorando de modo continuado a infraestrutura e equilibrando a carga-horária docente entre graduação e pós-graduação;")</f>
        <v>Gerar plenas condições de trabalho acadêmico dos programas existentes, aprimorando de modo continuado a infraestrutura e equilibrando a carga-horária docente entre graduação e pós-graduação;</v>
      </c>
      <c r="C56" s="202" t="n">
        <f aca="false">IFERROR(__xludf.dummyfunction("""COMPUTED_VALUE"""),16)</f>
        <v>16</v>
      </c>
      <c r="D56" s="201" t="str">
        <f aca="false">IFERROR(__xludf.dummyfunction("""COMPUTED_VALUE"""),"Criar e consolidar Programas de Pós-graduação com cursos em nível de Mestrado e Doutorado propiciando a verticalização do ensino.")</f>
        <v>Criar e consolidar Programas de Pós-graduação com cursos em nível de Mestrado e Doutorado propiciando a verticalização do ensino.</v>
      </c>
      <c r="E56" s="202" t="str">
        <f aca="false">IFERROR(__xludf.dummyfunction("""COMPUTED_VALUE"""),"ILAACH / ILAESP / ILATIT / ILACVN")</f>
        <v>ILAACH / ILAESP / ILATIT / ILACVN</v>
      </c>
      <c r="F56" s="203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</row>
    <row r="57" customFormat="false" ht="15" hidden="false" customHeight="false" outlineLevel="0" collapsed="false">
      <c r="A57" s="200" t="str">
        <f aca="false">IFERROR(__xludf.dummyfunction("""COMPUTED_VALUE"""),"16.3")</f>
        <v>16.3</v>
      </c>
      <c r="B57" s="201" t="str">
        <f aca="false">IFERROR(__xludf.dummyfunction("""COMPUTED_VALUE"""),"Gerar plenas condições de trabalho da gestão da pesquisa e da pós-graduação, adequando o provimento de cargos e de pessoal;")</f>
        <v>Gerar plenas condições de trabalho da gestão da pesquisa e da pós-graduação, adequando o provimento de cargos e de pessoal;</v>
      </c>
      <c r="C57" s="202" t="n">
        <f aca="false">IFERROR(__xludf.dummyfunction("""COMPUTED_VALUE"""),16)</f>
        <v>16</v>
      </c>
      <c r="D57" s="201" t="str">
        <f aca="false">IFERROR(__xludf.dummyfunction("""COMPUTED_VALUE"""),"Criar e consolidar Programas de Pós-graduação com cursos em nível de Mestrado e Doutorado propiciando a verticalização do ensino.")</f>
        <v>Criar e consolidar Programas de Pós-graduação com cursos em nível de Mestrado e Doutorado propiciando a verticalização do ensino.</v>
      </c>
      <c r="E57" s="202" t="str">
        <f aca="false">IFERROR(__xludf.dummyfunction("""COMPUTED_VALUE"""),"ILAACH / ILAESP / ILATIT / ILACVN")</f>
        <v>ILAACH / ILAESP / ILATIT / ILACVN</v>
      </c>
      <c r="F57" s="203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</row>
    <row r="58" customFormat="false" ht="15" hidden="false" customHeight="false" outlineLevel="0" collapsed="false">
      <c r="A58" s="200" t="str">
        <f aca="false">IFERROR(__xludf.dummyfunction("""COMPUTED_VALUE"""),"16.4")</f>
        <v>16.4</v>
      </c>
      <c r="B58" s="201" t="str">
        <f aca="false">IFERROR(__xludf.dummyfunction("""COMPUTED_VALUE"""),"Gerar plenas condições de trabalho acadêmico para a proposição de novos APCNs;")</f>
        <v>Gerar plenas condições de trabalho acadêmico para a proposição de novos APCNs;</v>
      </c>
      <c r="C58" s="202" t="n">
        <f aca="false">IFERROR(__xludf.dummyfunction("""COMPUTED_VALUE"""),16)</f>
        <v>16</v>
      </c>
      <c r="D58" s="201" t="str">
        <f aca="false">IFERROR(__xludf.dummyfunction("""COMPUTED_VALUE"""),"Criar e consolidar Programas de Pós-graduação com cursos em nível de Mestrado e Doutorado propiciando a verticalização do ensino.")</f>
        <v>Criar e consolidar Programas de Pós-graduação com cursos em nível de Mestrado e Doutorado propiciando a verticalização do ensino.</v>
      </c>
      <c r="E58" s="202" t="str">
        <f aca="false">IFERROR(__xludf.dummyfunction("""COMPUTED_VALUE"""),"ILAACH / ILAESP / ILATIT / ILACVN")</f>
        <v>ILAACH / ILAESP / ILATIT / ILACVN</v>
      </c>
      <c r="F58" s="203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</row>
    <row r="59" customFormat="false" ht="15" hidden="false" customHeight="false" outlineLevel="0" collapsed="false">
      <c r="A59" s="200" t="str">
        <f aca="false">IFERROR(__xludf.dummyfunction("""COMPUTED_VALUE"""),"17.1")</f>
        <v>17.1</v>
      </c>
      <c r="B59" s="201" t="str">
        <f aca="false">IFERROR(__xludf.dummyfunction("""COMPUTED_VALUE"""),"Instituir políticas de fomento e normativas que regulem os processos relativos à inovação na Unila.")</f>
        <v>Instituir políticas de fomento e normativas que regulem os processos relativos à inovação na Unila.</v>
      </c>
      <c r="C59" s="202" t="n">
        <f aca="false">IFERROR(__xludf.dummyfunction("""COMPUTED_VALUE"""),17)</f>
        <v>17</v>
      </c>
      <c r="D59" s="201" t="str">
        <f aca="false">IFERROR(__xludf.dummyfunction("""COMPUTED_VALUE"""),"Promover atividades de inovação e tecnologia em consonância com a missão da Unila e orientadas para o desenvolvimento inclusivo e soberano da América Latina e Caribe.")</f>
        <v>Promover atividades de inovação e tecnologia em consonância com a missão da Unila e orientadas para o desenvolvimento inclusivo e soberano da América Latina e Caribe.</v>
      </c>
      <c r="E59" s="202" t="str">
        <f aca="false">IFERROR(__xludf.dummyfunction("""COMPUTED_VALUE"""),"PRPPG")</f>
        <v>PRPPG</v>
      </c>
      <c r="F59" s="203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</row>
    <row r="60" customFormat="false" ht="15" hidden="false" customHeight="false" outlineLevel="0" collapsed="false">
      <c r="A60" s="200" t="str">
        <f aca="false">IFERROR(__xludf.dummyfunction("""COMPUTED_VALUE"""),"17.2")</f>
        <v>17.2</v>
      </c>
      <c r="B60" s="201" t="str">
        <f aca="false">IFERROR(__xludf.dummyfunction("""COMPUTED_VALUE"""),"Fomentar a cultura de inovação.")</f>
        <v>Fomentar a cultura de inovação.</v>
      </c>
      <c r="C60" s="202" t="n">
        <f aca="false">IFERROR(__xludf.dummyfunction("""COMPUTED_VALUE"""),17)</f>
        <v>17</v>
      </c>
      <c r="D60" s="201" t="str">
        <f aca="false">IFERROR(__xludf.dummyfunction("""COMPUTED_VALUE"""),"Promover atividades de inovação e tecnologia em consonância com a missão da Unila e orientadas para o desenvolvimento inclusivo e soberano da América Latina e Caribe.")</f>
        <v>Promover atividades de inovação e tecnologia em consonância com a missão da Unila e orientadas para o desenvolvimento inclusivo e soberano da América Latina e Caribe.</v>
      </c>
      <c r="E60" s="202" t="str">
        <f aca="false">IFERROR(__xludf.dummyfunction("""COMPUTED_VALUE"""),"PRPPG")</f>
        <v>PRPPG</v>
      </c>
      <c r="F60" s="203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</row>
    <row r="61" customFormat="false" ht="15" hidden="false" customHeight="false" outlineLevel="0" collapsed="false">
      <c r="A61" s="200" t="str">
        <f aca="false">IFERROR(__xludf.dummyfunction("""COMPUTED_VALUE"""),"17.3")</f>
        <v>17.3</v>
      </c>
      <c r="B61" s="201" t="str">
        <f aca="false">IFERROR(__xludf.dummyfunction("""COMPUTED_VALUE"""),"Investir com recursos próprios e externos em inovação nas diversas áreas do conhecimento.")</f>
        <v>Investir com recursos próprios e externos em inovação nas diversas áreas do conhecimento.</v>
      </c>
      <c r="C61" s="202" t="n">
        <f aca="false">IFERROR(__xludf.dummyfunction("""COMPUTED_VALUE"""),17)</f>
        <v>17</v>
      </c>
      <c r="D61" s="201" t="str">
        <f aca="false">IFERROR(__xludf.dummyfunction("""COMPUTED_VALUE"""),"Promover atividades de inovação e tecnologia em consonância com a missão da Unila e orientadas para o desenvolvimento inclusivo e soberano da América Latina e Caribe.")</f>
        <v>Promover atividades de inovação e tecnologia em consonância com a missão da Unila e orientadas para o desenvolvimento inclusivo e soberano da América Latina e Caribe.</v>
      </c>
      <c r="E61" s="202" t="str">
        <f aca="false">IFERROR(__xludf.dummyfunction("""COMPUTED_VALUE"""),"PRPPG")</f>
        <v>PRPPG</v>
      </c>
      <c r="F61" s="203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</row>
    <row r="62" customFormat="false" ht="15" hidden="false" customHeight="false" outlineLevel="0" collapsed="false">
      <c r="A62" s="200" t="str">
        <f aca="false">IFERROR(__xludf.dummyfunction("""COMPUTED_VALUE"""),"18.1")</f>
        <v>18.1</v>
      </c>
      <c r="B62" s="201" t="str">
        <f aca="false">IFERROR(__xludf.dummyfunction("""COMPUTED_VALUE"""),"Investir com recursos próprios e externos para a promoção de pesquisa.")</f>
        <v>Investir com recursos próprios e externos para a promoção de pesquisa.</v>
      </c>
      <c r="C62" s="202" t="n">
        <f aca="false">IFERROR(__xludf.dummyfunction("""COMPUTED_VALUE"""),18)</f>
        <v>18</v>
      </c>
      <c r="D62" s="201" t="str">
        <f aca="false">IFERROR(__xludf.dummyfunction("""COMPUTED_VALUE"""),"Promover a pesquisa de excelência.")</f>
        <v>Promover a pesquisa de excelência.</v>
      </c>
      <c r="E62" s="202" t="str">
        <f aca="false">IFERROR(__xludf.dummyfunction("""COMPUTED_VALUE"""),"PRPPG")</f>
        <v>PRPPG</v>
      </c>
      <c r="F62" s="203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</row>
    <row r="63" customFormat="false" ht="15" hidden="false" customHeight="false" outlineLevel="0" collapsed="false">
      <c r="A63" s="200" t="str">
        <f aca="false">IFERROR(__xludf.dummyfunction("""COMPUTED_VALUE"""),"18.2")</f>
        <v>18.2</v>
      </c>
      <c r="B63" s="201" t="str">
        <f aca="false">IFERROR(__xludf.dummyfunction("""COMPUTED_VALUE"""),"Aperfeiçoar a infraestrutura para a pesquisa.")</f>
        <v>Aperfeiçoar a infraestrutura para a pesquisa.</v>
      </c>
      <c r="C63" s="202" t="n">
        <f aca="false">IFERROR(__xludf.dummyfunction("""COMPUTED_VALUE"""),18)</f>
        <v>18</v>
      </c>
      <c r="D63" s="201" t="str">
        <f aca="false">IFERROR(__xludf.dummyfunction("""COMPUTED_VALUE"""),"Promover a pesquisa de excelência.")</f>
        <v>Promover a pesquisa de excelência.</v>
      </c>
      <c r="E63" s="202" t="str">
        <f aca="false">IFERROR(__xludf.dummyfunction("""COMPUTED_VALUE"""),"PRPPG")</f>
        <v>PRPPG</v>
      </c>
      <c r="F63" s="203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</row>
    <row r="64" customFormat="false" ht="15" hidden="false" customHeight="false" outlineLevel="0" collapsed="false">
      <c r="A64" s="200" t="str">
        <f aca="false">IFERROR(__xludf.dummyfunction("""COMPUTED_VALUE"""),"18.3")</f>
        <v>18.3</v>
      </c>
      <c r="B64" s="201" t="str">
        <f aca="false">IFERROR(__xludf.dummyfunction("""COMPUTED_VALUE"""),"Aperfeiçoar as condições de trabalho docente que assegure tempo para a pesquisa.")</f>
        <v>Aperfeiçoar as condições de trabalho docente que assegure tempo para a pesquisa.</v>
      </c>
      <c r="C64" s="202" t="n">
        <f aca="false">IFERROR(__xludf.dummyfunction("""COMPUTED_VALUE"""),18)</f>
        <v>18</v>
      </c>
      <c r="D64" s="201" t="str">
        <f aca="false">IFERROR(__xludf.dummyfunction("""COMPUTED_VALUE"""),"Promover a pesquisa de excelência.")</f>
        <v>Promover a pesquisa de excelência.</v>
      </c>
      <c r="E64" s="202" t="str">
        <f aca="false">IFERROR(__xludf.dummyfunction("""COMPUTED_VALUE"""),"PRPPG")</f>
        <v>PRPPG</v>
      </c>
      <c r="F64" s="203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</row>
    <row r="65" customFormat="false" ht="15" hidden="false" customHeight="false" outlineLevel="0" collapsed="false">
      <c r="A65" s="200" t="str">
        <f aca="false">IFERROR(__xludf.dummyfunction("""COMPUTED_VALUE"""),"18.4")</f>
        <v>18.4</v>
      </c>
      <c r="B65" s="201" t="str">
        <f aca="false">IFERROR(__xludf.dummyfunction("""COMPUTED_VALUE"""),"Valorizar o trabalho docente em pesquisa para fins progressão funcional.")</f>
        <v>Valorizar o trabalho docente em pesquisa para fins progressão funcional.</v>
      </c>
      <c r="C65" s="202" t="n">
        <f aca="false">IFERROR(__xludf.dummyfunction("""COMPUTED_VALUE"""),18)</f>
        <v>18</v>
      </c>
      <c r="D65" s="201" t="str">
        <f aca="false">IFERROR(__xludf.dummyfunction("""COMPUTED_VALUE"""),"Promover a pesquisa de excelência.")</f>
        <v>Promover a pesquisa de excelência.</v>
      </c>
      <c r="E65" s="202" t="str">
        <f aca="false">IFERROR(__xludf.dummyfunction("""COMPUTED_VALUE"""),"PRPPG")</f>
        <v>PRPPG</v>
      </c>
      <c r="F65" s="203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</row>
    <row r="66" customFormat="false" ht="15" hidden="false" customHeight="false" outlineLevel="0" collapsed="false">
      <c r="A66" s="200" t="str">
        <f aca="false">IFERROR(__xludf.dummyfunction("""COMPUTED_VALUE"""),"18.5")</f>
        <v>18.5</v>
      </c>
      <c r="B66" s="201" t="str">
        <f aca="false">IFERROR(__xludf.dummyfunction("""COMPUTED_VALUE"""),"Estimular a formação de grupos de pesquisa e consolidar grupos existentes.")</f>
        <v>Estimular a formação de grupos de pesquisa e consolidar grupos existentes.</v>
      </c>
      <c r="C66" s="202" t="n">
        <f aca="false">IFERROR(__xludf.dummyfunction("""COMPUTED_VALUE"""),18)</f>
        <v>18</v>
      </c>
      <c r="D66" s="201" t="str">
        <f aca="false">IFERROR(__xludf.dummyfunction("""COMPUTED_VALUE"""),"Promover a pesquisa de excelência.")</f>
        <v>Promover a pesquisa de excelência.</v>
      </c>
      <c r="E66" s="202" t="str">
        <f aca="false">IFERROR(__xludf.dummyfunction("""COMPUTED_VALUE"""),"PRPPG")</f>
        <v>PRPPG</v>
      </c>
      <c r="F66" s="203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</row>
    <row r="67" customFormat="false" ht="15" hidden="false" customHeight="false" outlineLevel="0" collapsed="false">
      <c r="A67" s="200" t="str">
        <f aca="false">IFERROR(__xludf.dummyfunction("""COMPUTED_VALUE"""),"19.1")</f>
        <v>19.1</v>
      </c>
      <c r="B67" s="201" t="str">
        <f aca="false">IFERROR(__xludf.dummyfunction("""COMPUTED_VALUE"""),"Adequar normas e fluxos de convênios para agilizar a formação de parcerias.")</f>
        <v>Adequar normas e fluxos de convênios para agilizar a formação de parcerias.</v>
      </c>
      <c r="C67" s="202" t="n">
        <f aca="false">IFERROR(__xludf.dummyfunction("""COMPUTED_VALUE"""),19)</f>
        <v>19</v>
      </c>
      <c r="D67" s="201" t="str">
        <f aca="false">IFERROR(__xludf.dummyfunction("""COMPUTED_VALUE"""),"Aperfeiçoar a capacidade para estabelecer e manter parcerias externas.")</f>
        <v>Aperfeiçoar a capacidade para estabelecer e manter parcerias externas.</v>
      </c>
      <c r="E67" s="202" t="str">
        <f aca="false">IFERROR(__xludf.dummyfunction("""COMPUTED_VALUE"""),"PROINT")</f>
        <v>PROINT</v>
      </c>
      <c r="F67" s="203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</row>
    <row r="68" customFormat="false" ht="15" hidden="false" customHeight="false" outlineLevel="0" collapsed="false">
      <c r="A68" s="200" t="str">
        <f aca="false">IFERROR(__xludf.dummyfunction("""COMPUTED_VALUE"""),"19.2")</f>
        <v>19.2</v>
      </c>
      <c r="B68" s="201" t="str">
        <f aca="false">IFERROR(__xludf.dummyfunction("""COMPUTED_VALUE"""),"Viabilizar instrumentos de captação e execução de recursos externos.")</f>
        <v>Viabilizar instrumentos de captação e execução de recursos externos.</v>
      </c>
      <c r="C68" s="202" t="n">
        <f aca="false">IFERROR(__xludf.dummyfunction("""COMPUTED_VALUE"""),19)</f>
        <v>19</v>
      </c>
      <c r="D68" s="201" t="str">
        <f aca="false">IFERROR(__xludf.dummyfunction("""COMPUTED_VALUE"""),"Aperfeiçoar a capacidade para estabelecer e manter parcerias externas.")</f>
        <v>Aperfeiçoar a capacidade para estabelecer e manter parcerias externas.</v>
      </c>
      <c r="E68" s="202" t="str">
        <f aca="false">IFERROR(__xludf.dummyfunction("""COMPUTED_VALUE"""),"PROINT")</f>
        <v>PROINT</v>
      </c>
      <c r="F68" s="203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</row>
    <row r="69" customFormat="false" ht="15" hidden="false" customHeight="false" outlineLevel="0" collapsed="false">
      <c r="A69" s="200" t="str">
        <f aca="false">IFERROR(__xludf.dummyfunction("""COMPUTED_VALUE"""),"20.1")</f>
        <v>20.1</v>
      </c>
      <c r="B69" s="201" t="str">
        <f aca="false">IFERROR(__xludf.dummyfunction("""COMPUTED_VALUE"""),"Curricularizar a extensão")</f>
        <v>Curricularizar a extensão</v>
      </c>
      <c r="C69" s="202" t="n">
        <f aca="false">IFERROR(__xludf.dummyfunction("""COMPUTED_VALUE"""),20)</f>
        <v>20</v>
      </c>
      <c r="D69" s="201" t="str">
        <f aca="false">IFERROR(__xludf.dummyfunction("""COMPUTED_VALUE"""),"Consolidar a cultura extensionista e fortalecer as ações de extensão")</f>
        <v>Consolidar a cultura extensionista e fortalecer as ações de extensão</v>
      </c>
      <c r="E69" s="202" t="str">
        <f aca="false">IFERROR(__xludf.dummyfunction("""COMPUTED_VALUE"""),"PROEX / PROGRAD / NDEs / COLEGIADOS DE GRADUAÇÃO")</f>
        <v>PROEX / PROGRAD / NDEs / COLEGIADOS DE GRADUAÇÃO</v>
      </c>
      <c r="F69" s="203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</row>
    <row r="70" customFormat="false" ht="15" hidden="false" customHeight="false" outlineLevel="0" collapsed="false">
      <c r="A70" s="200" t="str">
        <f aca="false">IFERROR(__xludf.dummyfunction("""COMPUTED_VALUE"""),"20.2")</f>
        <v>20.2</v>
      </c>
      <c r="B70" s="201" t="str">
        <f aca="false">IFERROR(__xludf.dummyfunction("""COMPUTED_VALUE"""),"Promover o protagonismo discente nas ações de extensão")</f>
        <v>Promover o protagonismo discente nas ações de extensão</v>
      </c>
      <c r="C70" s="202" t="n">
        <f aca="false">IFERROR(__xludf.dummyfunction("""COMPUTED_VALUE"""),20)</f>
        <v>20</v>
      </c>
      <c r="D70" s="201" t="str">
        <f aca="false">IFERROR(__xludf.dummyfunction("""COMPUTED_VALUE"""),"Consolidar a cultura extensionista e fortalecer as ações de extensão")</f>
        <v>Consolidar a cultura extensionista e fortalecer as ações de extensão</v>
      </c>
      <c r="E70" s="202" t="str">
        <f aca="false">IFERROR(__xludf.dummyfunction("""COMPUTED_VALUE"""),"PROEX / PROGRAD / NDEs / COLEGIADOS DE GRADUAÇÃO")</f>
        <v>PROEX / PROGRAD / NDEs / COLEGIADOS DE GRADUAÇÃO</v>
      </c>
      <c r="F70" s="203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</row>
    <row r="71" customFormat="false" ht="15" hidden="false" customHeight="false" outlineLevel="0" collapsed="false">
      <c r="A71" s="200" t="str">
        <f aca="false">IFERROR(__xludf.dummyfunction("""COMPUTED_VALUE"""),"20.3")</f>
        <v>20.3</v>
      </c>
      <c r="B71" s="201" t="str">
        <f aca="false">IFERROR(__xludf.dummyfunction("""COMPUTED_VALUE"""),"Prever recursos para fomentar o desenvolvimento das ações de extensão")</f>
        <v>Prever recursos para fomentar o desenvolvimento das ações de extensão</v>
      </c>
      <c r="C71" s="202" t="n">
        <f aca="false">IFERROR(__xludf.dummyfunction("""COMPUTED_VALUE"""),20)</f>
        <v>20</v>
      </c>
      <c r="D71" s="201" t="str">
        <f aca="false">IFERROR(__xludf.dummyfunction("""COMPUTED_VALUE"""),"Consolidar a cultura extensionista e fortalecer as ações de extensão")</f>
        <v>Consolidar a cultura extensionista e fortalecer as ações de extensão</v>
      </c>
      <c r="E71" s="202" t="str">
        <f aca="false">IFERROR(__xludf.dummyfunction("""COMPUTED_VALUE"""),"PROEX / PROGRAD / NDEs / COLEGIADOS DE GRADUAÇÃO")</f>
        <v>PROEX / PROGRAD / NDEs / COLEGIADOS DE GRADUAÇÃO</v>
      </c>
      <c r="F71" s="203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</row>
    <row r="72" customFormat="false" ht="15" hidden="false" customHeight="false" outlineLevel="0" collapsed="false">
      <c r="A72" s="200" t="str">
        <f aca="false">IFERROR(__xludf.dummyfunction("""COMPUTED_VALUE"""),"21.1")</f>
        <v>21.1</v>
      </c>
      <c r="B72" s="201" t="str">
        <f aca="false">IFERROR(__xludf.dummyfunction("""COMPUTED_VALUE"""),"Facilitar o trânsito de servidores, discentes, equipamentos e veículos oficiais na região da fronteira trinacional, para fins acadẽmicos e administrativos")</f>
        <v>Facilitar o trânsito de servidores, discentes, equipamentos e veículos oficiais na região da fronteira trinacional, para fins acadẽmicos e administrativos</v>
      </c>
      <c r="C72" s="202" t="n">
        <f aca="false">IFERROR(__xludf.dummyfunction("""COMPUTED_VALUE"""),21)</f>
        <v>21</v>
      </c>
      <c r="D72" s="201" t="str">
        <f aca="false">IFERROR(__xludf.dummyfunction("""COMPUTED_VALUE"""),"Viabilizar a inserção das ações de extensão na região da fronteira trinacional, América Latina e Caribe.")</f>
        <v>Viabilizar a inserção das ações de extensão na região da fronteira trinacional, América Latina e Caribe.</v>
      </c>
      <c r="E72" s="202" t="str">
        <f aca="false">IFERROR(__xludf.dummyfunction("""COMPUTED_VALUE"""),"PROEX / PROGEPE / PROINT")</f>
        <v>PROEX / PROGEPE / PROINT</v>
      </c>
      <c r="F72" s="203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</row>
    <row r="73" customFormat="false" ht="15" hidden="false" customHeight="false" outlineLevel="0" collapsed="false">
      <c r="A73" s="200" t="str">
        <f aca="false">IFERROR(__xludf.dummyfunction("""COMPUTED_VALUE"""),"21.2")</f>
        <v>21.2</v>
      </c>
      <c r="B73" s="201" t="str">
        <f aca="false">IFERROR(__xludf.dummyfunction("""COMPUTED_VALUE"""),"Aperfeiçoar os processos administrativos e legais relacionados à mobilidade na região da fronteira trinacional")</f>
        <v>Aperfeiçoar os processos administrativos e legais relacionados à mobilidade na região da fronteira trinacional</v>
      </c>
      <c r="C73" s="202" t="n">
        <f aca="false">IFERROR(__xludf.dummyfunction("""COMPUTED_VALUE"""),21)</f>
        <v>21</v>
      </c>
      <c r="D73" s="201" t="str">
        <f aca="false">IFERROR(__xludf.dummyfunction("""COMPUTED_VALUE"""),"Viabilizar a inserção das ações de extensão na região da fronteira trinacional, América Latina e Caribe.")</f>
        <v>Viabilizar a inserção das ações de extensão na região da fronteira trinacional, América Latina e Caribe.</v>
      </c>
      <c r="E73" s="202" t="str">
        <f aca="false">IFERROR(__xludf.dummyfunction("""COMPUTED_VALUE"""),"PROEX / PROGEPE / PROINT")</f>
        <v>PROEX / PROGEPE / PROINT</v>
      </c>
      <c r="F73" s="203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</row>
    <row r="74" customFormat="false" ht="15" hidden="false" customHeight="false" outlineLevel="0" collapsed="false">
      <c r="A74" s="200" t="str">
        <f aca="false">IFERROR(__xludf.dummyfunction("""COMPUTED_VALUE"""),"21.3")</f>
        <v>21.3</v>
      </c>
      <c r="B74" s="201" t="str">
        <f aca="false">IFERROR(__xludf.dummyfunction("""COMPUTED_VALUE"""),"Aproximar a universidade dos principais atores locais e regionais")</f>
        <v>Aproximar a universidade dos principais atores locais e regionais</v>
      </c>
      <c r="C74" s="202" t="n">
        <f aca="false">IFERROR(__xludf.dummyfunction("""COMPUTED_VALUE"""),21)</f>
        <v>21</v>
      </c>
      <c r="D74" s="201" t="str">
        <f aca="false">IFERROR(__xludf.dummyfunction("""COMPUTED_VALUE"""),"Viabilizar a inserção das ações de extensão na região da fronteira trinacional, América Latina e Caribe.")</f>
        <v>Viabilizar a inserção das ações de extensão na região da fronteira trinacional, América Latina e Caribe.</v>
      </c>
      <c r="E74" s="202" t="str">
        <f aca="false">IFERROR(__xludf.dummyfunction("""COMPUTED_VALUE"""),"PROEX / PROGEPE / PROINT")</f>
        <v>PROEX / PROGEPE / PROINT</v>
      </c>
      <c r="F74" s="203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</row>
    <row r="75" customFormat="false" ht="15" hidden="false" customHeight="false" outlineLevel="0" collapsed="false">
      <c r="A75" s="200" t="str">
        <f aca="false">IFERROR(__xludf.dummyfunction("""COMPUTED_VALUE"""),"21.4")</f>
        <v>21.4</v>
      </c>
      <c r="B75" s="201" t="str">
        <f aca="false">IFERROR(__xludf.dummyfunction("""COMPUTED_VALUE"""),"Compatibilizar a agenda institucional com as agendas locais e regionais")</f>
        <v>Compatibilizar a agenda institucional com as agendas locais e regionais</v>
      </c>
      <c r="C75" s="202" t="n">
        <f aca="false">IFERROR(__xludf.dummyfunction("""COMPUTED_VALUE"""),21)</f>
        <v>21</v>
      </c>
      <c r="D75" s="201" t="str">
        <f aca="false">IFERROR(__xludf.dummyfunction("""COMPUTED_VALUE"""),"Viabilizar a inserção das ações de extensão na região da fronteira trinacional, América Latina e Caribe.")</f>
        <v>Viabilizar a inserção das ações de extensão na região da fronteira trinacional, América Latina e Caribe.</v>
      </c>
      <c r="E75" s="202" t="str">
        <f aca="false">IFERROR(__xludf.dummyfunction("""COMPUTED_VALUE"""),"PROEX / PROGEPE / PROINT")</f>
        <v>PROEX / PROGEPE / PROINT</v>
      </c>
      <c r="F75" s="203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</row>
    <row r="76" customFormat="false" ht="15" hidden="false" customHeight="false" outlineLevel="0" collapsed="false">
      <c r="A76" s="200" t="str">
        <f aca="false">IFERROR(__xludf.dummyfunction("""COMPUTED_VALUE"""),"22.1")</f>
        <v>22.1</v>
      </c>
      <c r="B76" s="201" t="str">
        <f aca="false">IFERROR(__xludf.dummyfunction("""COMPUTED_VALUE"""),"Elaborar políticas conjuntas que promovam equidade entre ensino, pesquisa e extensão")</f>
        <v>Elaborar políticas conjuntas que promovam equidade entre ensino, pesquisa e extensão</v>
      </c>
      <c r="C76" s="202" t="n">
        <f aca="false">IFERROR(__xludf.dummyfunction("""COMPUTED_VALUE"""),22)</f>
        <v>22</v>
      </c>
      <c r="D76" s="201" t="str">
        <f aca="false">IFERROR(__xludf.dummyfunction("""COMPUTED_VALUE"""),"Fortalecer a extensão no contexto da indissociabilidade entre ensino, pesquisa e extensão.")</f>
        <v>Fortalecer a extensão no contexto da indissociabilidade entre ensino, pesquisa e extensão.</v>
      </c>
      <c r="E76" s="202" t="str">
        <f aca="false">IFERROR(__xludf.dummyfunction("""COMPUTED_VALUE"""),"PROEX / PROGRAD / PRPPG")</f>
        <v>PROEX / PROGRAD / PRPPG</v>
      </c>
      <c r="F76" s="203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</row>
    <row r="77" customFormat="false" ht="15" hidden="false" customHeight="false" outlineLevel="0" collapsed="false">
      <c r="A77" s="200" t="str">
        <f aca="false">IFERROR(__xludf.dummyfunction("""COMPUTED_VALUE"""),"22.2")</f>
        <v>22.2</v>
      </c>
      <c r="B77" s="201" t="str">
        <f aca="false">IFERROR(__xludf.dummyfunction("""COMPUTED_VALUE"""),"Ampliar o papel da extensão enquanto espaço interdisciplinar")</f>
        <v>Ampliar o papel da extensão enquanto espaço interdisciplinar</v>
      </c>
      <c r="C77" s="202" t="n">
        <f aca="false">IFERROR(__xludf.dummyfunction("""COMPUTED_VALUE"""),22)</f>
        <v>22</v>
      </c>
      <c r="D77" s="201" t="str">
        <f aca="false">IFERROR(__xludf.dummyfunction("""COMPUTED_VALUE"""),"Fortalecer a extensão no contexto da indissociabilidade entre ensino, pesquisa e extensão.")</f>
        <v>Fortalecer a extensão no contexto da indissociabilidade entre ensino, pesquisa e extensão.</v>
      </c>
      <c r="E77" s="202" t="str">
        <f aca="false">IFERROR(__xludf.dummyfunction("""COMPUTED_VALUE"""),"PROEX / PROGRAD / PRPPG")</f>
        <v>PROEX / PROGRAD / PRPPG</v>
      </c>
      <c r="F77" s="203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</row>
    <row r="78" customFormat="false" ht="15" hidden="false" customHeight="false" outlineLevel="0" collapsed="false">
      <c r="A78" s="200" t="str">
        <f aca="false">IFERROR(__xludf.dummyfunction("""COMPUTED_VALUE"""),"22.3")</f>
        <v>22.3</v>
      </c>
      <c r="B78" s="201" t="str">
        <f aca="false">IFERROR(__xludf.dummyfunction("""COMPUTED_VALUE"""),"Valorizar a extensão enquanto atividade formativa, administrativa e pedagógica")</f>
        <v>Valorizar a extensão enquanto atividade formativa, administrativa e pedagógica</v>
      </c>
      <c r="C78" s="202" t="n">
        <f aca="false">IFERROR(__xludf.dummyfunction("""COMPUTED_VALUE"""),22)</f>
        <v>22</v>
      </c>
      <c r="D78" s="201" t="str">
        <f aca="false">IFERROR(__xludf.dummyfunction("""COMPUTED_VALUE"""),"Fortalecer a extensão no contexto da indissociabilidade entre ensino, pesquisa e extensão.")</f>
        <v>Fortalecer a extensão no contexto da indissociabilidade entre ensino, pesquisa e extensão.</v>
      </c>
      <c r="E78" s="202" t="str">
        <f aca="false">IFERROR(__xludf.dummyfunction("""COMPUTED_VALUE"""),"PROEX / PROGRAD / PRPPG")</f>
        <v>PROEX / PROGRAD / PRPPG</v>
      </c>
      <c r="F78" s="203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</row>
    <row r="79" customFormat="false" ht="15" hidden="false" customHeight="false" outlineLevel="0" collapsed="false">
      <c r="A79" s="200" t="str">
        <f aca="false">IFERROR(__xludf.dummyfunction("""COMPUTED_VALUE"""),"22.4")</f>
        <v>22.4</v>
      </c>
      <c r="B79" s="201" t="str">
        <f aca="false">IFERROR(__xludf.dummyfunction("""COMPUTED_VALUE"""),"Curricularizar a extensão")</f>
        <v>Curricularizar a extensão</v>
      </c>
      <c r="C79" s="202" t="n">
        <f aca="false">IFERROR(__xludf.dummyfunction("""COMPUTED_VALUE"""),22)</f>
        <v>22</v>
      </c>
      <c r="D79" s="201" t="str">
        <f aca="false">IFERROR(__xludf.dummyfunction("""COMPUTED_VALUE"""),"Fortalecer a extensão no contexto da indissociabilidade entre ensino, pesquisa e extensão.")</f>
        <v>Fortalecer a extensão no contexto da indissociabilidade entre ensino, pesquisa e extensão.</v>
      </c>
      <c r="E79" s="202" t="str">
        <f aca="false">IFERROR(__xludf.dummyfunction("""COMPUTED_VALUE"""),"PROEX / PROGRAD / PRPPG")</f>
        <v>PROEX / PROGRAD / PRPPG</v>
      </c>
      <c r="F79" s="203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</row>
    <row r="80" customFormat="false" ht="15" hidden="false" customHeight="false" outlineLevel="0" collapsed="false">
      <c r="A80" s="200" t="str">
        <f aca="false">IFERROR(__xludf.dummyfunction("""COMPUTED_VALUE"""),"23.1")</f>
        <v>23.1</v>
      </c>
      <c r="B80" s="201" t="str">
        <f aca="false">IFERROR(__xludf.dummyfunction("""COMPUTED_VALUE"""),"Adequar os sistemas de TI às necessidades da extensão")</f>
        <v>Adequar os sistemas de TI às necessidades da extensão</v>
      </c>
      <c r="C80" s="202" t="n">
        <f aca="false">IFERROR(__xludf.dummyfunction("""COMPUTED_VALUE"""),23)</f>
        <v>23</v>
      </c>
      <c r="D80" s="201" t="str">
        <f aca="false">IFERROR(__xludf.dummyfunction("""COMPUTED_VALUE"""),"Facilitar o acesso às informações das ações de extensão.")</f>
        <v>Facilitar o acesso às informações das ações de extensão.</v>
      </c>
      <c r="E80" s="202" t="str">
        <f aca="false">IFERROR(__xludf.dummyfunction("""COMPUTED_VALUE"""),"PROEX / PROAGI / SECOM")</f>
        <v>PROEX / PROAGI / SECOM</v>
      </c>
      <c r="F80" s="203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</row>
    <row r="81" customFormat="false" ht="15" hidden="false" customHeight="false" outlineLevel="0" collapsed="false">
      <c r="A81" s="200" t="str">
        <f aca="false">IFERROR(__xludf.dummyfunction("""COMPUTED_VALUE"""),"23.2")</f>
        <v>23.2</v>
      </c>
      <c r="B81" s="201" t="str">
        <f aca="false">IFERROR(__xludf.dummyfunction("""COMPUTED_VALUE"""),"Elaborar os indicadores de extensão")</f>
        <v>Elaborar os indicadores de extensão</v>
      </c>
      <c r="C81" s="202" t="n">
        <f aca="false">IFERROR(__xludf.dummyfunction("""COMPUTED_VALUE"""),23)</f>
        <v>23</v>
      </c>
      <c r="D81" s="201" t="str">
        <f aca="false">IFERROR(__xludf.dummyfunction("""COMPUTED_VALUE"""),"Facilitar o acesso às informações das ações de extensão.")</f>
        <v>Facilitar o acesso às informações das ações de extensão.</v>
      </c>
      <c r="E81" s="202" t="str">
        <f aca="false">IFERROR(__xludf.dummyfunction("""COMPUTED_VALUE"""),"PROEX / PROAGI / SECOM")</f>
        <v>PROEX / PROAGI / SECOM</v>
      </c>
      <c r="F81" s="203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</row>
    <row r="82" customFormat="false" ht="15" hidden="false" customHeight="false" outlineLevel="0" collapsed="false">
      <c r="A82" s="200" t="str">
        <f aca="false">IFERROR(__xludf.dummyfunction("""COMPUTED_VALUE"""),"23.3")</f>
        <v>23.3</v>
      </c>
      <c r="B82" s="201" t="str">
        <f aca="false">IFERROR(__xludf.dummyfunction("""COMPUTED_VALUE"""),"Consolidar as publicações voltadas aos registros das experiências extensionistas, a fim de publicizar os resultados das ações")</f>
        <v>Consolidar as publicações voltadas aos registros das experiências extensionistas, a fim de publicizar os resultados das ações</v>
      </c>
      <c r="C82" s="202" t="n">
        <f aca="false">IFERROR(__xludf.dummyfunction("""COMPUTED_VALUE"""),23)</f>
        <v>23</v>
      </c>
      <c r="D82" s="201" t="str">
        <f aca="false">IFERROR(__xludf.dummyfunction("""COMPUTED_VALUE"""),"Facilitar o acesso às informações das ações de extensão.")</f>
        <v>Facilitar o acesso às informações das ações de extensão.</v>
      </c>
      <c r="E82" s="202" t="str">
        <f aca="false">IFERROR(__xludf.dummyfunction("""COMPUTED_VALUE"""),"PROEX / PROAGI / SECOM")</f>
        <v>PROEX / PROAGI / SECOM</v>
      </c>
      <c r="F82" s="203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</row>
    <row r="83" customFormat="false" ht="15" hidden="false" customHeight="false" outlineLevel="0" collapsed="false">
      <c r="A83" s="200" t="str">
        <f aca="false">IFERROR(__xludf.dummyfunction("""COMPUTED_VALUE"""),"24.1")</f>
        <v>24.1</v>
      </c>
      <c r="B83" s="201" t="str">
        <f aca="false">IFERROR(__xludf.dummyfunction("""COMPUTED_VALUE"""),"Implementar a política cultural da Universidade")</f>
        <v>Implementar a política cultural da Universidade</v>
      </c>
      <c r="C83" s="202" t="n">
        <f aca="false">IFERROR(__xludf.dummyfunction("""COMPUTED_VALUE"""),24)</f>
        <v>24</v>
      </c>
      <c r="D83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3" s="202" t="str">
        <f aca="false">IFERROR(__xludf.dummyfunction("""COMPUTED_VALUE"""),"PROEX")</f>
        <v>PROEX</v>
      </c>
      <c r="F83" s="203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</row>
    <row r="84" customFormat="false" ht="15" hidden="false" customHeight="false" outlineLevel="0" collapsed="false">
      <c r="A84" s="200" t="str">
        <f aca="false">IFERROR(__xludf.dummyfunction("""COMPUTED_VALUE"""),"24.2")</f>
        <v>24.2</v>
      </c>
      <c r="B84" s="201" t="str">
        <f aca="false">IFERROR(__xludf.dummyfunction("""COMPUTED_VALUE"""),"Promover a articulação entre as ações")</f>
        <v>Promover a articulação entre as ações</v>
      </c>
      <c r="C84" s="202" t="n">
        <f aca="false">IFERROR(__xludf.dummyfunction("""COMPUTED_VALUE"""),24)</f>
        <v>24</v>
      </c>
      <c r="D84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4" s="202" t="str">
        <f aca="false">IFERROR(__xludf.dummyfunction("""COMPUTED_VALUE"""),"PROEX")</f>
        <v>PROEX</v>
      </c>
      <c r="F84" s="203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</row>
    <row r="85" customFormat="false" ht="15" hidden="false" customHeight="false" outlineLevel="0" collapsed="false">
      <c r="A85" s="200" t="str">
        <f aca="false">IFERROR(__xludf.dummyfunction("""COMPUTED_VALUE"""),"24.3")</f>
        <v>24.3</v>
      </c>
      <c r="B85" s="201" t="str">
        <f aca="false">IFERROR(__xludf.dummyfunction("""COMPUTED_VALUE"""),"Facilitar a implementação de programas de extensão")</f>
        <v>Facilitar a implementação de programas de extensão</v>
      </c>
      <c r="C85" s="202" t="n">
        <f aca="false">IFERROR(__xludf.dummyfunction("""COMPUTED_VALUE"""),24)</f>
        <v>24</v>
      </c>
      <c r="D85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5" s="202" t="str">
        <f aca="false">IFERROR(__xludf.dummyfunction("""COMPUTED_VALUE"""),"PROEX")</f>
        <v>PROEX</v>
      </c>
      <c r="F85" s="203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</row>
    <row r="86" customFormat="false" ht="15" hidden="false" customHeight="false" outlineLevel="0" collapsed="false">
      <c r="A86" s="200" t="str">
        <f aca="false">IFERROR(__xludf.dummyfunction("""COMPUTED_VALUE"""),"24.4")</f>
        <v>24.4</v>
      </c>
      <c r="B86" s="201" t="str">
        <f aca="false">IFERROR(__xludf.dummyfunction("""COMPUTED_VALUE"""),"Aprimorar a captação e execução de recursos para programas de extensão")</f>
        <v>Aprimorar a captação e execução de recursos para programas de extensão</v>
      </c>
      <c r="C86" s="202" t="n">
        <f aca="false">IFERROR(__xludf.dummyfunction("""COMPUTED_VALUE"""),24)</f>
        <v>24</v>
      </c>
      <c r="D86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6" s="202" t="str">
        <f aca="false">IFERROR(__xludf.dummyfunction("""COMPUTED_VALUE"""),"PROEX")</f>
        <v>PROEX</v>
      </c>
      <c r="F86" s="203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</row>
    <row r="87" customFormat="false" ht="15" hidden="false" customHeight="false" outlineLevel="0" collapsed="false">
      <c r="A87" s="200" t="str">
        <f aca="false">IFERROR(__xludf.dummyfunction("""COMPUTED_VALUE"""),"24.5")</f>
        <v>24.5</v>
      </c>
      <c r="B87" s="201" t="str">
        <f aca="false">IFERROR(__xludf.dummyfunction("""COMPUTED_VALUE"""),"Promover uma política conjuntas entre as unidades finalísticas")</f>
        <v>Promover uma política conjuntas entre as unidades finalísticas</v>
      </c>
      <c r="C87" s="202" t="n">
        <f aca="false">IFERROR(__xludf.dummyfunction("""COMPUTED_VALUE"""),24)</f>
        <v>24</v>
      </c>
      <c r="D87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7" s="202" t="str">
        <f aca="false">IFERROR(__xludf.dummyfunction("""COMPUTED_VALUE"""),"PROEX")</f>
        <v>PROEX</v>
      </c>
      <c r="F87" s="203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</row>
    <row r="88" customFormat="false" ht="15" hidden="false" customHeight="false" outlineLevel="0" collapsed="false">
      <c r="A88" s="200" t="str">
        <f aca="false">IFERROR(__xludf.dummyfunction("""COMPUTED_VALUE"""),"24.6")</f>
        <v>24.6</v>
      </c>
      <c r="B88" s="201" t="str">
        <f aca="false">IFERROR(__xludf.dummyfunction("""COMPUTED_VALUE"""),"Promover a continuada aproximação da UNILA com a comunidade")</f>
        <v>Promover a continuada aproximação da UNILA com a comunidade</v>
      </c>
      <c r="C88" s="202" t="n">
        <f aca="false">IFERROR(__xludf.dummyfunction("""COMPUTED_VALUE"""),24)</f>
        <v>24</v>
      </c>
      <c r="D88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8" s="202" t="str">
        <f aca="false">IFERROR(__xludf.dummyfunction("""COMPUTED_VALUE"""),"PROEX")</f>
        <v>PROEX</v>
      </c>
      <c r="F88" s="203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</row>
    <row r="89" customFormat="false" ht="15" hidden="false" customHeight="false" outlineLevel="0" collapsed="false">
      <c r="A89" s="200" t="str">
        <f aca="false">IFERROR(__xludf.dummyfunction("""COMPUTED_VALUE"""),"24.7")</f>
        <v>24.7</v>
      </c>
      <c r="B89" s="201" t="str">
        <f aca="false">IFERROR(__xludf.dummyfunction("""COMPUTED_VALUE"""),"Facilitar o estabelecimento de convênios e parcerias com instâncias nacionais e internacionais")</f>
        <v>Facilitar o estabelecimento de convênios e parcerias com instâncias nacionais e internacionais</v>
      </c>
      <c r="C89" s="202" t="n">
        <f aca="false">IFERROR(__xludf.dummyfunction("""COMPUTED_VALUE"""),24)</f>
        <v>24</v>
      </c>
      <c r="D89" s="201" t="str">
        <f aca="false">IFERROR(__xludf.dummyfunction("""COMPUTED_VALUE"""),"Criar e manter programas de extensão com base na indissociabilidade entre ensino, pesquisa e extensão e em estreito diálogo com a região trinacional e América Latina.")</f>
        <v>Criar e manter programas de extensão com base na indissociabilidade entre ensino, pesquisa e extensão e em estreito diálogo com a região trinacional e América Latina.</v>
      </c>
      <c r="E89" s="202" t="str">
        <f aca="false">IFERROR(__xludf.dummyfunction("""COMPUTED_VALUE"""),"PROEX")</f>
        <v>PROEX</v>
      </c>
      <c r="F89" s="203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</row>
    <row r="90" customFormat="false" ht="15" hidden="false" customHeight="false" outlineLevel="0" collapsed="false">
      <c r="A90" s="200" t="str">
        <f aca="false">IFERROR(__xludf.dummyfunction("""COMPUTED_VALUE"""),"25.1")</f>
        <v>25.1</v>
      </c>
      <c r="B90" s="201" t="str">
        <f aca="false">IFERROR(__xludf.dummyfunction("""COMPUTED_VALUE"""),"Promover a articulação dos cursos de licenciatura com a educação básica dos municípios e região.")</f>
        <v>Promover a articulação dos cursos de licenciatura com a educação básica dos municípios e região.</v>
      </c>
      <c r="C90" s="202" t="n">
        <f aca="false">IFERROR(__xludf.dummyfunction("""COMPUTED_VALUE"""),25)</f>
        <v>25</v>
      </c>
      <c r="D90" s="201" t="str">
        <f aca="false">IFERROR(__xludf.dummyfunction("""COMPUTED_VALUE"""),"Fortalecer a formação inicial e continuada de professores para a educação básica na Unila.")</f>
        <v>Fortalecer a formação inicial e continuada de professores para a educação básica na Unila.</v>
      </c>
      <c r="E90" s="202" t="str">
        <f aca="false">IFERROR(__xludf.dummyfunction("""COMPUTED_VALUE"""),"PROGRAD / INSTITUTOS")</f>
        <v>PROGRAD / INSTITUTOS</v>
      </c>
      <c r="F90" s="203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</row>
    <row r="91" customFormat="false" ht="15" hidden="false" customHeight="false" outlineLevel="0" collapsed="false">
      <c r="A91" s="200" t="str">
        <f aca="false">IFERROR(__xludf.dummyfunction("""COMPUTED_VALUE"""),"25.2")</f>
        <v>25.2</v>
      </c>
      <c r="B91" s="201" t="str">
        <f aca="false">IFERROR(__xludf.dummyfunction("""COMPUTED_VALUE"""),"Fortalecer a cooperação internacional em educação na região da fronteira trinacional, nos diferentes níveis e modalidades de ensino.")</f>
        <v>Fortalecer a cooperação internacional em educação na região da fronteira trinacional, nos diferentes níveis e modalidades de ensino.</v>
      </c>
      <c r="C91" s="202" t="n">
        <f aca="false">IFERROR(__xludf.dummyfunction("""COMPUTED_VALUE"""),25)</f>
        <v>25</v>
      </c>
      <c r="D91" s="201" t="str">
        <f aca="false">IFERROR(__xludf.dummyfunction("""COMPUTED_VALUE"""),"Fortalecer a formação inicial e continuada de professores para a educação básica na Unila.")</f>
        <v>Fortalecer a formação inicial e continuada de professores para a educação básica na Unila.</v>
      </c>
      <c r="E91" s="202" t="str">
        <f aca="false">IFERROR(__xludf.dummyfunction("""COMPUTED_VALUE"""),"PROGRAD / INSTITUTOS")</f>
        <v>PROGRAD / INSTITUTOS</v>
      </c>
      <c r="F91" s="203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</row>
    <row r="92" customFormat="false" ht="15" hidden="false" customHeight="false" outlineLevel="0" collapsed="false">
      <c r="A92" s="200" t="str">
        <f aca="false">IFERROR(__xludf.dummyfunction("""COMPUTED_VALUE"""),"25.3")</f>
        <v>25.3</v>
      </c>
      <c r="B92" s="201" t="str">
        <f aca="false">IFERROR(__xludf.dummyfunction("""COMPUTED_VALUE"""),"Articular os cursos de licenciatura na Unila, no âmbito de ensino, pesquisa e extensão, por meio da criação de política e estrutura específicas.")</f>
        <v>Articular os cursos de licenciatura na Unila, no âmbito de ensino, pesquisa e extensão, por meio da criação de política e estrutura específicas.</v>
      </c>
      <c r="C92" s="202" t="n">
        <f aca="false">IFERROR(__xludf.dummyfunction("""COMPUTED_VALUE"""),25)</f>
        <v>25</v>
      </c>
      <c r="D92" s="201" t="str">
        <f aca="false">IFERROR(__xludf.dummyfunction("""COMPUTED_VALUE"""),"Fortalecer a formação inicial e continuada de professores para a educação básica na Unila.")</f>
        <v>Fortalecer a formação inicial e continuada de professores para a educação básica na Unila.</v>
      </c>
      <c r="E92" s="202" t="str">
        <f aca="false">IFERROR(__xludf.dummyfunction("""COMPUTED_VALUE"""),"PROGRAD / INSTITUTOS")</f>
        <v>PROGRAD / INSTITUTOS</v>
      </c>
      <c r="F92" s="203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</row>
    <row r="93" customFormat="false" ht="15" hidden="false" customHeight="false" outlineLevel="0" collapsed="false">
      <c r="A93" s="200" t="str">
        <f aca="false">IFERROR(__xludf.dummyfunction("""COMPUTED_VALUE"""),"25.4")</f>
        <v>25.4</v>
      </c>
      <c r="B93" s="201" t="str">
        <f aca="false">IFERROR(__xludf.dummyfunction("""COMPUTED_VALUE"""),"Rever as formas de ingresso para os cursos em duplicidade (Licenciatura/Bacharelado).")</f>
        <v>Rever as formas de ingresso para os cursos em duplicidade (Licenciatura/Bacharelado).</v>
      </c>
      <c r="C93" s="202" t="n">
        <f aca="false">IFERROR(__xludf.dummyfunction("""COMPUTED_VALUE"""),25)</f>
        <v>25</v>
      </c>
      <c r="D93" s="201" t="str">
        <f aca="false">IFERROR(__xludf.dummyfunction("""COMPUTED_VALUE"""),"Fortalecer a formação inicial e continuada de professores para a educação básica na Unila.")</f>
        <v>Fortalecer a formação inicial e continuada de professores para a educação básica na Unila.</v>
      </c>
      <c r="E93" s="202" t="str">
        <f aca="false">IFERROR(__xludf.dummyfunction("""COMPUTED_VALUE"""),"PROGRAD / INSTITUTOS")</f>
        <v>PROGRAD / INSTITUTOS</v>
      </c>
      <c r="F93" s="203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</row>
    <row r="94" customFormat="false" ht="15" hidden="false" customHeight="false" outlineLevel="0" collapsed="false">
      <c r="A94" s="200" t="str">
        <f aca="false">IFERROR(__xludf.dummyfunction("""COMPUTED_VALUE"""),"26.1")</f>
        <v>26.1</v>
      </c>
      <c r="B94" s="201" t="str">
        <f aca="false">IFERROR(__xludf.dummyfunction("""COMPUTED_VALUE"""),"Aprimorar as formas de ingresso de estudantes, nacional e internacional, na graduação e pós-graduação, contemplando a diversidade socioeducativa latino-americana e caribenha.")</f>
        <v>Aprimorar as formas de ingresso de estudantes, nacional e internacional, na graduação e pós-graduação, contemplando a diversidade socioeducativa latino-americana e caribenha.</v>
      </c>
      <c r="C94" s="202" t="n">
        <f aca="false">IFERROR(__xludf.dummyfunction("""COMPUTED_VALUE"""),26)</f>
        <v>26</v>
      </c>
      <c r="D94" s="201" t="str">
        <f aca="false">IFERROR(__xludf.dummyfunction("""COMPUTED_VALUE"""),"Estabelecer nova política e diretriz para o ingresso na graduação e pós-graduação.")</f>
        <v>Estabelecer nova política e diretriz para o ingresso na graduação e pós-graduação.</v>
      </c>
      <c r="E94" s="202" t="str">
        <f aca="false">IFERROR(__xludf.dummyfunction("""COMPUTED_VALUE"""),"PROGRAD / PROINT / PRPPG / INSTITUTOS")</f>
        <v>PROGRAD / PROINT / PRPPG / INSTITUTOS</v>
      </c>
      <c r="F94" s="203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</row>
    <row r="95" customFormat="false" ht="15" hidden="false" customHeight="false" outlineLevel="0" collapsed="false">
      <c r="A95" s="200" t="str">
        <f aca="false">IFERROR(__xludf.dummyfunction("""COMPUTED_VALUE"""),"26.2")</f>
        <v>26.2</v>
      </c>
      <c r="B95" s="201" t="str">
        <f aca="false">IFERROR(__xludf.dummyfunction("""COMPUTED_VALUE"""),"Fomentar estudos em temáticas sobre a realidade socioeducativa latino-americana e caribenha no âmbito dos programas institucionais Agenda Tríplice e Prioridade América Latina, para subsidiar política de ingresso.")</f>
        <v>Fomentar estudos em temáticas sobre a realidade socioeducativa latino-americana e caribenha no âmbito dos programas institucionais Agenda Tríplice e Prioridade América Latina, para subsidiar política de ingresso.</v>
      </c>
      <c r="C95" s="202" t="n">
        <f aca="false">IFERROR(__xludf.dummyfunction("""COMPUTED_VALUE"""),26)</f>
        <v>26</v>
      </c>
      <c r="D95" s="201" t="str">
        <f aca="false">IFERROR(__xludf.dummyfunction("""COMPUTED_VALUE"""),"Estabelecer nova política e diretriz para o ingresso na graduação e pós-graduação.")</f>
        <v>Estabelecer nova política e diretriz para o ingresso na graduação e pós-graduação.</v>
      </c>
      <c r="E95" s="202" t="str">
        <f aca="false">IFERROR(__xludf.dummyfunction("""COMPUTED_VALUE"""),"PROGRAD / PROINT / PRPPG / INSTITUTOS")</f>
        <v>PROGRAD / PROINT / PRPPG / INSTITUTOS</v>
      </c>
      <c r="F95" s="203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</row>
    <row r="96" customFormat="false" ht="15" hidden="false" customHeight="false" outlineLevel="0" collapsed="false">
      <c r="A96" s="200" t="str">
        <f aca="false">IFERROR(__xludf.dummyfunction("""COMPUTED_VALUE"""),"26.3")</f>
        <v>26.3</v>
      </c>
      <c r="B96" s="201" t="str">
        <f aca="false">IFERROR(__xludf.dummyfunction("""COMPUTED_VALUE"""),"Melhorar a sinergia entre as unidades da Unila para garantir o máximo preenchimento das vagas associadas a permanência dos estudantes.")</f>
        <v>Melhorar a sinergia entre as unidades da Unila para garantir o máximo preenchimento das vagas associadas a permanência dos estudantes.</v>
      </c>
      <c r="C96" s="202" t="n">
        <f aca="false">IFERROR(__xludf.dummyfunction("""COMPUTED_VALUE"""),26)</f>
        <v>26</v>
      </c>
      <c r="D96" s="201" t="str">
        <f aca="false">IFERROR(__xludf.dummyfunction("""COMPUTED_VALUE"""),"Estabelecer nova política e diretriz para o ingresso na graduação e pós-graduação.")</f>
        <v>Estabelecer nova política e diretriz para o ingresso na graduação e pós-graduação.</v>
      </c>
      <c r="E96" s="202" t="str">
        <f aca="false">IFERROR(__xludf.dummyfunction("""COMPUTED_VALUE"""),"PROGRAD / PROINT / PRPPG / INSTITUTOS")</f>
        <v>PROGRAD / PROINT / PRPPG / INSTITUTOS</v>
      </c>
      <c r="F96" s="203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</row>
    <row r="97" customFormat="false" ht="15" hidden="false" customHeight="false" outlineLevel="0" collapsed="false">
      <c r="A97" s="200" t="str">
        <f aca="false">IFERROR(__xludf.dummyfunction("""COMPUTED_VALUE"""),"26.4")</f>
        <v>26.4</v>
      </c>
      <c r="B97" s="201" t="str">
        <f aca="false">IFERROR(__xludf.dummyfunction("""COMPUTED_VALUE"""),"Garantir a execução da política de ações afirmativas na Unila referentes ao ingresso, contemplando também refugiados, portadores de visto humanitário e indígenas.")</f>
        <v>Garantir a execução da política de ações afirmativas na Unila referentes ao ingresso, contemplando também refugiados, portadores de visto humanitário e indígenas.</v>
      </c>
      <c r="C97" s="202" t="n">
        <f aca="false">IFERROR(__xludf.dummyfunction("""COMPUTED_VALUE"""),26)</f>
        <v>26</v>
      </c>
      <c r="D97" s="201" t="str">
        <f aca="false">IFERROR(__xludf.dummyfunction("""COMPUTED_VALUE"""),"Estabelecer nova política e diretriz para o ingresso na graduação e pós-graduação.")</f>
        <v>Estabelecer nova política e diretriz para o ingresso na graduação e pós-graduação.</v>
      </c>
      <c r="E97" s="202" t="str">
        <f aca="false">IFERROR(__xludf.dummyfunction("""COMPUTED_VALUE"""),"PROGRAD / PROINT / PRPPG / INSTITUTOS")</f>
        <v>PROGRAD / PROINT / PRPPG / INSTITUTOS</v>
      </c>
      <c r="F97" s="203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</row>
    <row r="98" customFormat="false" ht="15" hidden="false" customHeight="false" outlineLevel="0" collapsed="false">
      <c r="A98" s="200" t="str">
        <f aca="false">IFERROR(__xludf.dummyfunction("""COMPUTED_VALUE"""),"27.1")</f>
        <v>27.1</v>
      </c>
      <c r="B98" s="201" t="str">
        <f aca="false">IFERROR(__xludf.dummyfunction("""COMPUTED_VALUE"""),"Estabelecer registros consistentes dos egressos no ato da diplomação")</f>
        <v>Estabelecer registros consistentes dos egressos no ato da diplomação</v>
      </c>
      <c r="C98" s="202" t="n">
        <f aca="false">IFERROR(__xludf.dummyfunction("""COMPUTED_VALUE"""),27)</f>
        <v>27</v>
      </c>
      <c r="D98" s="202" t="str">
        <f aca="false">IFERROR(__xludf.dummyfunction("""COMPUTED_VALUE"""),"Institucionalizar a política de acompanhamento de egressos da UNILA")</f>
        <v>Institucionalizar a política de acompanhamento de egressos da UNILA</v>
      </c>
      <c r="E98" s="202" t="str">
        <f aca="false">IFERROR(__xludf.dummyfunction("""COMPUTED_VALUE"""),"REITORIA / PROGRAD / PRPPG")</f>
        <v>REITORIA / PROGRAD / PRPPG</v>
      </c>
      <c r="F98" s="203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</row>
    <row r="99" customFormat="false" ht="15" hidden="false" customHeight="false" outlineLevel="0" collapsed="false">
      <c r="A99" s="200" t="str">
        <f aca="false">IFERROR(__xludf.dummyfunction("""COMPUTED_VALUE"""),"27.2")</f>
        <v>27.2</v>
      </c>
      <c r="B99" s="201" t="str">
        <f aca="false">IFERROR(__xludf.dummyfunction("""COMPUTED_VALUE"""),"Criar mecanismos de contato e de acompanhamento permanente da UNILA com os egressos")</f>
        <v>Criar mecanismos de contato e de acompanhamento permanente da UNILA com os egressos</v>
      </c>
      <c r="C99" s="202" t="n">
        <f aca="false">IFERROR(__xludf.dummyfunction("""COMPUTED_VALUE"""),27)</f>
        <v>27</v>
      </c>
      <c r="D99" s="202" t="str">
        <f aca="false">IFERROR(__xludf.dummyfunction("""COMPUTED_VALUE"""),"Institucionalizar a política de acompanhamento de egressos da UNILA")</f>
        <v>Institucionalizar a política de acompanhamento de egressos da UNILA</v>
      </c>
      <c r="E99" s="202" t="str">
        <f aca="false">IFERROR(__xludf.dummyfunction("""COMPUTED_VALUE"""),"REITORIA / PROGRAD / PRPPG")</f>
        <v>REITORIA / PROGRAD / PRPPG</v>
      </c>
      <c r="F99" s="203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</row>
    <row r="100" customFormat="false" ht="15" hidden="false" customHeight="false" outlineLevel="0" collapsed="false">
      <c r="A100" s="200" t="str">
        <f aca="false">IFERROR(__xludf.dummyfunction("""COMPUTED_VALUE"""),"27.3")</f>
        <v>27.3</v>
      </c>
      <c r="B100" s="201" t="str">
        <f aca="false">IFERROR(__xludf.dummyfunction("""COMPUTED_VALUE"""),"Propor a organização das informações coletadas para a retroalimentação das políticas de ensino, de pesquisa, de extensão, e de gestão universitária, assim como para a composição de um banco de dados a respeito da atuação profissional dos egressos")</f>
        <v>Propor a organização das informações coletadas para a retroalimentação das políticas de ensino, de pesquisa, de extensão, e de gestão universitária, assim como para a composição de um banco de dados a respeito da atuação profissional dos egressos</v>
      </c>
      <c r="C100" s="202" t="n">
        <f aca="false">IFERROR(__xludf.dummyfunction("""COMPUTED_VALUE"""),27)</f>
        <v>27</v>
      </c>
      <c r="D100" s="202" t="str">
        <f aca="false">IFERROR(__xludf.dummyfunction("""COMPUTED_VALUE"""),"Institucionalizar a política de acompanhamento de egressos da UNILA")</f>
        <v>Institucionalizar a política de acompanhamento de egressos da UNILA</v>
      </c>
      <c r="E100" s="202" t="str">
        <f aca="false">IFERROR(__xludf.dummyfunction("""COMPUTED_VALUE"""),"REITORIA / PROGRAD / PRPPG")</f>
        <v>REITORIA / PROGRAD / PRPPG</v>
      </c>
      <c r="F100" s="203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</row>
    <row r="101" customFormat="false" ht="15" hidden="false" customHeight="false" outlineLevel="0" collapsed="false">
      <c r="A101" s="200" t="str">
        <f aca="false">IFERROR(__xludf.dummyfunction("""COMPUTED_VALUE"""),"27.4")</f>
        <v>27.4</v>
      </c>
      <c r="B101" s="201" t="str">
        <f aca="false">IFERROR(__xludf.dummyfunction("""COMPUTED_VALUE"""),"Incentivar a formação continuada e a participação dos egressos em atividades de atualização na instituição, em cursos, eventos, projetos, programas, dentre outros, e a expansão e utilização da Universidade e de seu espaço e infraestrutura, como de bibliot"&amp;"eca, laboratórios, grupos de pesquisa e outros")</f>
        <v>Incentivar a formação continuada e a participação dos egressos em atividades de atualização na instituição, em cursos, eventos, projetos, programas, dentre outros, e a expansão e utilização da Universidade e de seu espaço e infraestrutura, como de biblioteca, laboratórios, grupos de pesquisa e outros</v>
      </c>
      <c r="C101" s="202" t="n">
        <f aca="false">IFERROR(__xludf.dummyfunction("""COMPUTED_VALUE"""),27)</f>
        <v>27</v>
      </c>
      <c r="D101" s="202" t="str">
        <f aca="false">IFERROR(__xludf.dummyfunction("""COMPUTED_VALUE"""),"Institucionalizar a política de acompanhamento de egressos da UNILA")</f>
        <v>Institucionalizar a política de acompanhamento de egressos da UNILA</v>
      </c>
      <c r="E101" s="202" t="str">
        <f aca="false">IFERROR(__xludf.dummyfunction("""COMPUTED_VALUE"""),"REITORIA / PROGRAD / PRPPG")</f>
        <v>REITORIA / PROGRAD / PRPPG</v>
      </c>
      <c r="F101" s="203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</row>
    <row r="102" customFormat="false" ht="15" hidden="false" customHeight="false" outlineLevel="0" collapsed="false">
      <c r="A102" s="200" t="str">
        <f aca="false">IFERROR(__xludf.dummyfunction("""COMPUTED_VALUE"""),"28.1")</f>
        <v>28.1</v>
      </c>
      <c r="B102" s="204" t="str">
        <f aca="false">IFERROR(__xludf.dummyfunction("""COMPUTED_VALUE"""),"Consolidar a política de internacionalização para a UNILA, para além do ingresso de discentes e docentes de diferentes países da América-latina e Caribe.")</f>
        <v>Consolidar a política de internacionalização para a UNILA, para além do ingresso de discentes e docentes de diferentes países da América-latina e Caribe.</v>
      </c>
      <c r="C102" s="202" t="n">
        <f aca="false">IFERROR(__xludf.dummyfunction("""COMPUTED_VALUE"""),28)</f>
        <v>28</v>
      </c>
      <c r="D102" s="201" t="str">
        <f aca="false">IFERROR(__xludf.dummyfunction("""COMPUTED_VALUE"""),"Elaborar e implementar política de internacionalização.")</f>
        <v>Elaborar e implementar política de internacionalização.</v>
      </c>
      <c r="E102" s="202" t="str">
        <f aca="false">IFERROR(__xludf.dummyfunction("""COMPUTED_VALUE"""),"PROINT / PRÓ-REITORIAS FINALÍSTICAS / INSTITUTOS")</f>
        <v>PROINT / PRÓ-REITORIAS FINALÍSTICAS / INSTITUTOS</v>
      </c>
      <c r="F102" s="203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</row>
    <row r="103" customFormat="false" ht="15" hidden="false" customHeight="false" outlineLevel="0" collapsed="false">
      <c r="A103" s="200" t="str">
        <f aca="false">IFERROR(__xludf.dummyfunction("""COMPUTED_VALUE"""),"28.2")</f>
        <v>28.2</v>
      </c>
      <c r="B103" s="204" t="str">
        <f aca="false">IFERROR(__xludf.dummyfunction("""COMPUTED_VALUE"""),"Desenvolver uma base de dados sobre a realidade socioeducativa latino-americana e caribenha.")</f>
        <v>Desenvolver uma base de dados sobre a realidade socioeducativa latino-americana e caribenha.</v>
      </c>
      <c r="C103" s="202" t="n">
        <f aca="false">IFERROR(__xludf.dummyfunction("""COMPUTED_VALUE"""),28)</f>
        <v>28</v>
      </c>
      <c r="D103" s="201" t="str">
        <f aca="false">IFERROR(__xludf.dummyfunction("""COMPUTED_VALUE"""),"Elaborar e implementar política de internacionalização.")</f>
        <v>Elaborar e implementar política de internacionalização.</v>
      </c>
      <c r="E103" s="202" t="str">
        <f aca="false">IFERROR(__xludf.dummyfunction("""COMPUTED_VALUE"""),"PROINT / PRÓ-REITORIAS FINALÍSTICAS / INSTITUTOS")</f>
        <v>PROINT / PRÓ-REITORIAS FINALÍSTICAS / INSTITUTOS</v>
      </c>
      <c r="F103" s="203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</row>
    <row r="104" customFormat="false" ht="15" hidden="false" customHeight="false" outlineLevel="0" collapsed="false">
      <c r="A104" s="200" t="str">
        <f aca="false">IFERROR(__xludf.dummyfunction("""COMPUTED_VALUE"""),"28.3")</f>
        <v>28.3</v>
      </c>
      <c r="B104" s="204" t="str">
        <f aca="false">IFERROR(__xludf.dummyfunction("""COMPUTED_VALUE"""),"Definir/Criar indicadores de internacionalização de ensino, pesquisa e extensão na graduação e pós-graduação em consonância com os padrões de excelência acadêmica e com a missão institucional da UNILA.")</f>
        <v>Definir/Criar indicadores de internacionalização de ensino, pesquisa e extensão na graduação e pós-graduação em consonância com os padrões de excelência acadêmica e com a missão institucional da UNILA.</v>
      </c>
      <c r="C104" s="202" t="n">
        <f aca="false">IFERROR(__xludf.dummyfunction("""COMPUTED_VALUE"""),28)</f>
        <v>28</v>
      </c>
      <c r="D104" s="201" t="str">
        <f aca="false">IFERROR(__xludf.dummyfunction("""COMPUTED_VALUE"""),"Elaborar e implementar política de internacionalização.")</f>
        <v>Elaborar e implementar política de internacionalização.</v>
      </c>
      <c r="E104" s="202" t="str">
        <f aca="false">IFERROR(__xludf.dummyfunction("""COMPUTED_VALUE"""),"PROINT / PRÓ-REITORIAS FINALÍSTICAS / INSTITUTOS")</f>
        <v>PROINT / PRÓ-REITORIAS FINALÍSTICAS / INSTITUTOS</v>
      </c>
      <c r="F104" s="203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</row>
    <row r="105" customFormat="false" ht="15" hidden="false" customHeight="false" outlineLevel="0" collapsed="false">
      <c r="A105" s="200" t="str">
        <f aca="false">IFERROR(__xludf.dummyfunction("""COMPUTED_VALUE"""),"28.4")</f>
        <v>28.4</v>
      </c>
      <c r="B105" s="204" t="str">
        <f aca="false">IFERROR(__xludf.dummyfunction("""COMPUTED_VALUE"""),"Fomentar ações de internacionalização de forma horizontal e solidária, considerando, dentre outros, os programas institucionais Agenda Tríplice, Prioridades América-latina e apoio aos grupos de pesquisa.")</f>
        <v>Fomentar ações de internacionalização de forma horizontal e solidária, considerando, dentre outros, os programas institucionais Agenda Tríplice, Prioridades América-latina e apoio aos grupos de pesquisa.</v>
      </c>
      <c r="C105" s="202" t="n">
        <f aca="false">IFERROR(__xludf.dummyfunction("""COMPUTED_VALUE"""),28)</f>
        <v>28</v>
      </c>
      <c r="D105" s="201" t="str">
        <f aca="false">IFERROR(__xludf.dummyfunction("""COMPUTED_VALUE"""),"Elaborar e implementar política de internacionalização.")</f>
        <v>Elaborar e implementar política de internacionalização.</v>
      </c>
      <c r="E105" s="202" t="str">
        <f aca="false">IFERROR(__xludf.dummyfunction("""COMPUTED_VALUE"""),"PROINT / PRÓ-REITORIAS FINALÍSTICAS / INSTITUTOS")</f>
        <v>PROINT / PRÓ-REITORIAS FINALÍSTICAS / INSTITUTOS</v>
      </c>
      <c r="F105" s="203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</row>
    <row r="106" customFormat="false" ht="15" hidden="false" customHeight="false" outlineLevel="0" collapsed="false">
      <c r="A106" s="200" t="str">
        <f aca="false">IFERROR(__xludf.dummyfunction("""COMPUTED_VALUE"""),"28.5")</f>
        <v>28.5</v>
      </c>
      <c r="B106" s="204" t="str">
        <f aca="false">IFERROR(__xludf.dummyfunction("""COMPUTED_VALUE"""),"Divulgar as formas de ingresso discente e de seleção de docentes nos diferentes países latino-americanos e caribenhos.")</f>
        <v>Divulgar as formas de ingresso discente e de seleção de docentes nos diferentes países latino-americanos e caribenhos.</v>
      </c>
      <c r="C106" s="202" t="n">
        <f aca="false">IFERROR(__xludf.dummyfunction("""COMPUTED_VALUE"""),28)</f>
        <v>28</v>
      </c>
      <c r="D106" s="201" t="str">
        <f aca="false">IFERROR(__xludf.dummyfunction("""COMPUTED_VALUE"""),"Elaborar e implementar política de internacionalização.")</f>
        <v>Elaborar e implementar política de internacionalização.</v>
      </c>
      <c r="E106" s="202" t="str">
        <f aca="false">IFERROR(__xludf.dummyfunction("""COMPUTED_VALUE"""),"PROINT / PRÓ-REITORIAS FINALÍSTICAS / INSTITUTOS")</f>
        <v>PROINT / PRÓ-REITORIAS FINALÍSTICAS / INSTITUTOS</v>
      </c>
      <c r="F106" s="203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</row>
    <row r="107" customFormat="false" ht="15" hidden="false" customHeight="false" outlineLevel="0" collapsed="false">
      <c r="A107" s="200" t="str">
        <f aca="false">IFERROR(__xludf.dummyfunction("""COMPUTED_VALUE"""),"28.6")</f>
        <v>28.6</v>
      </c>
      <c r="B107" s="204" t="str">
        <f aca="false">IFERROR(__xludf.dummyfunction("""COMPUTED_VALUE"""),"Fortalecer a cooperação internacional na fronteira trinacional (com foco na mobilidade).")</f>
        <v>Fortalecer a cooperação internacional na fronteira trinacional (com foco na mobilidade).</v>
      </c>
      <c r="C107" s="202" t="n">
        <f aca="false">IFERROR(__xludf.dummyfunction("""COMPUTED_VALUE"""),28)</f>
        <v>28</v>
      </c>
      <c r="D107" s="201" t="str">
        <f aca="false">IFERROR(__xludf.dummyfunction("""COMPUTED_VALUE"""),"Elaborar e implementar política de internacionalização.")</f>
        <v>Elaborar e implementar política de internacionalização.</v>
      </c>
      <c r="E107" s="202" t="str">
        <f aca="false">IFERROR(__xludf.dummyfunction("""COMPUTED_VALUE"""),"PROINT / PRÓ-REITORIAS FINALÍSTICAS / INSTITUTOS")</f>
        <v>PROINT / PRÓ-REITORIAS FINALÍSTICAS / INSTITUTOS</v>
      </c>
      <c r="F107" s="203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</row>
    <row r="108" customFormat="false" ht="15" hidden="false" customHeight="false" outlineLevel="0" collapsed="false">
      <c r="A108" s="200" t="str">
        <f aca="false">IFERROR(__xludf.dummyfunction("""COMPUTED_VALUE"""),"29.1")</f>
        <v>29.1</v>
      </c>
      <c r="B108" s="201" t="str">
        <f aca="false">IFERROR(__xludf.dummyfunction("""COMPUTED_VALUE"""),"Prover a infraestrutura e a equipe de trabalho necessárias para a oferta de EAD, nos ternmos aprovados pelo Conselho Universitário")</f>
        <v>Prover a infraestrutura e a equipe de trabalho necessárias para a oferta de EAD, nos ternmos aprovados pelo Conselho Universitário</v>
      </c>
      <c r="C108" s="202" t="n">
        <f aca="false">IFERROR(__xludf.dummyfunction("""COMPUTED_VALUE"""),29)</f>
        <v>29</v>
      </c>
      <c r="D108" s="201" t="str">
        <f aca="false">IFERROR(__xludf.dummyfunction("""COMPUTED_VALUE"""),"Institucionalizar e implementar a política de EAD na Unila.")</f>
        <v>Institucionalizar e implementar a política de EAD na Unila.</v>
      </c>
      <c r="E108" s="202" t="str">
        <f aca="false">IFERROR(__xludf.dummyfunction("""COMPUTED_VALUE"""),"PROGRAD")</f>
        <v>PROGRAD</v>
      </c>
      <c r="F108" s="203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</row>
    <row r="109" customFormat="false" ht="15" hidden="false" customHeight="false" outlineLevel="0" collapsed="false">
      <c r="A109" s="200" t="str">
        <f aca="false">IFERROR(__xludf.dummyfunction("""COMPUTED_VALUE"""),"29.2")</f>
        <v>29.2</v>
      </c>
      <c r="B109" s="201" t="str">
        <f aca="false">IFERROR(__xludf.dummyfunction("""COMPUTED_VALUE"""),"Articular colegiados, unidades e subunidades acadêmicas, bem como setores administrativos pertinentes, para debater a normatização da EAD na UNILA, atinentes à graduação, pós-graduação, a extensão e ao desenvolvimento profissional de servidores (as), e, n"&amp;"a sequência, aprová-las nas devidas instâncias")</f>
        <v>Articular colegiados, unidades e subunidades acadêmicas, bem como setores administrativos pertinentes, para debater a normatização da EAD na UNILA, atinentes à graduação, pós-graduação, a extensão e ao desenvolvimento profissional de servidores (as), e, na sequência, aprová-las nas devidas instâncias</v>
      </c>
      <c r="C109" s="202" t="n">
        <f aca="false">IFERROR(__xludf.dummyfunction("""COMPUTED_VALUE"""),29)</f>
        <v>29</v>
      </c>
      <c r="D109" s="201" t="str">
        <f aca="false">IFERROR(__xludf.dummyfunction("""COMPUTED_VALUE"""),"Institucionalizar e implementar a política de EAD na Unila.")</f>
        <v>Institucionalizar e implementar a política de EAD na Unila.</v>
      </c>
      <c r="E109" s="202" t="str">
        <f aca="false">IFERROR(__xludf.dummyfunction("""COMPUTED_VALUE"""),"PROGRAD")</f>
        <v>PROGRAD</v>
      </c>
      <c r="F109" s="203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</row>
    <row r="110" customFormat="false" ht="15" hidden="false" customHeight="false" outlineLevel="0" collapsed="false">
      <c r="A110" s="200" t="str">
        <f aca="false">IFERROR(__xludf.dummyfunction("""COMPUTED_VALUE"""),"29.3")</f>
        <v>29.3</v>
      </c>
      <c r="B110" s="201" t="str">
        <f aca="false">IFERROR(__xludf.dummyfunction("""COMPUTED_VALUE"""),"Prospectar oportunidades em programas governamentais e/ou em outras parcerias nacionais e internacionais para o fortalecimento da EAD institucional, inclusive tornando a UNILA membro de redes importantes de mobilidade")</f>
        <v>Prospectar oportunidades em programas governamentais e/ou em outras parcerias nacionais e internacionais para o fortalecimento da EAD institucional, inclusive tornando a UNILA membro de redes importantes de mobilidade</v>
      </c>
      <c r="C110" s="202" t="n">
        <f aca="false">IFERROR(__xludf.dummyfunction("""COMPUTED_VALUE"""),29)</f>
        <v>29</v>
      </c>
      <c r="D110" s="201" t="str">
        <f aca="false">IFERROR(__xludf.dummyfunction("""COMPUTED_VALUE"""),"Institucionalizar e implementar a política de EAD na Unila.")</f>
        <v>Institucionalizar e implementar a política de EAD na Unila.</v>
      </c>
      <c r="E110" s="202" t="str">
        <f aca="false">IFERROR(__xludf.dummyfunction("""COMPUTED_VALUE"""),"PROGRAD")</f>
        <v>PROGRAD</v>
      </c>
      <c r="F110" s="203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</row>
    <row r="111" customFormat="false" ht="15" hidden="false" customHeight="false" outlineLevel="0" collapsed="false">
      <c r="A111" s="200" t="str">
        <f aca="false">IFERROR(__xludf.dummyfunction("""COMPUTED_VALUE"""),"29.4")</f>
        <v>29.4</v>
      </c>
      <c r="B111" s="201" t="str">
        <f aca="false">IFERROR(__xludf.dummyfunction("""COMPUTED_VALUE"""),"Aperfeiçoar o sistema eletrônico de gestão e registros acadêmicos e o ambiente virtual de aprendizagem (AVA) da UNILA para atender as demandas de Educação à Distância, com atenção à acessibilidade dos(as) usuários(as) e à capacitação de educadores(as) par"&amp;"a atuação nessa modalidade educacional")</f>
        <v>Aperfeiçoar o sistema eletrônico de gestão e registros acadêmicos e o ambiente virtual de aprendizagem (AVA) da UNILA para atender as demandas de Educação à Distância, com atenção à acessibilidade dos(as) usuários(as) e à capacitação de educadores(as) para atuação nessa modalidade educacional</v>
      </c>
      <c r="C111" s="202" t="n">
        <f aca="false">IFERROR(__xludf.dummyfunction("""COMPUTED_VALUE"""),29)</f>
        <v>29</v>
      </c>
      <c r="D111" s="201" t="str">
        <f aca="false">IFERROR(__xludf.dummyfunction("""COMPUTED_VALUE"""),"Institucionalizar e implementar a política de EAD na Unila.")</f>
        <v>Institucionalizar e implementar a política de EAD na Unila.</v>
      </c>
      <c r="E111" s="202" t="str">
        <f aca="false">IFERROR(__xludf.dummyfunction("""COMPUTED_VALUE"""),"PROGRAD")</f>
        <v>PROGRAD</v>
      </c>
      <c r="F111" s="203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</row>
    <row r="112" customFormat="false" ht="15" hidden="false" customHeight="false" outlineLevel="0" collapsed="false">
      <c r="A112" s="200" t="str">
        <f aca="false">IFERROR(__xludf.dummyfunction("""COMPUTED_VALUE"""),"30.1")</f>
        <v>30.1</v>
      </c>
      <c r="B112" s="201" t="str">
        <f aca="false">IFERROR(__xludf.dummyfunction("""COMPUTED_VALUE"""),"Estimular o uso de metodologias que privilegiem a participação ativa do estudante na construção do conhecimento e a integração entre as diversas áreas do conhecimento")</f>
        <v>Estimular o uso de metodologias que privilegiem a participação ativa do estudante na construção do conhecimento e a integração entre as diversas áreas do conhecimento</v>
      </c>
      <c r="C112" s="202" t="n">
        <f aca="false">IFERROR(__xludf.dummyfunction("""COMPUTED_VALUE"""),30)</f>
        <v>30</v>
      </c>
      <c r="D112" s="201" t="str">
        <f aca="false">IFERROR(__xludf.dummyfunction("""COMPUTED_VALUE"""),"Reavaliar as práticas interdisciplinares na UNILA e a atuação dos Centros Intersciplinares para fomentá-las")</f>
        <v>Reavaliar as práticas interdisciplinares na UNILA e a atuação dos Centros Intersciplinares para fomentá-las</v>
      </c>
      <c r="E112" s="202" t="str">
        <f aca="false">IFERROR(__xludf.dummyfunction("""COMPUTED_VALUE"""),"PROGRAD / PRPPG / PROEX / CENTROS INTERDISCIPLINARES")</f>
        <v>PROGRAD / PRPPG / PROEX / CENTROS INTERDISCIPLINARES</v>
      </c>
      <c r="F112" s="203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</row>
    <row r="113" customFormat="false" ht="15" hidden="false" customHeight="false" outlineLevel="0" collapsed="false">
      <c r="A113" s="200" t="str">
        <f aca="false">IFERROR(__xludf.dummyfunction("""COMPUTED_VALUE"""),"30.2")</f>
        <v>30.2</v>
      </c>
      <c r="B113" s="201" t="str">
        <f aca="false">IFERROR(__xludf.dummyfunction("""COMPUTED_VALUE"""),"Fomentar maior autonomia dos estudantes em sua trajetória acadêmica, por meio da flexibilidade dos PPCs, para cursar componentes curriculares em diferentes áreas do conhecimento.")</f>
        <v>Fomentar maior autonomia dos estudantes em sua trajetória acadêmica, por meio da flexibilidade dos PPCs, para cursar componentes curriculares em diferentes áreas do conhecimento.</v>
      </c>
      <c r="C113" s="202" t="n">
        <f aca="false">IFERROR(__xludf.dummyfunction("""COMPUTED_VALUE"""),30)</f>
        <v>30</v>
      </c>
      <c r="D113" s="201" t="str">
        <f aca="false">IFERROR(__xludf.dummyfunction("""COMPUTED_VALUE"""),"Reavaliar as práticas interdisciplinares na UNILA e a atuação dos Centros Intersciplinares para fomentá-las")</f>
        <v>Reavaliar as práticas interdisciplinares na UNILA e a atuação dos Centros Intersciplinares para fomentá-las</v>
      </c>
      <c r="E113" s="202" t="str">
        <f aca="false">IFERROR(__xludf.dummyfunction("""COMPUTED_VALUE"""),"PROGRAD / PRPPG / PROEX / CENTROS INTERDISCIPLINARES")</f>
        <v>PROGRAD / PRPPG / PROEX / CENTROS INTERDISCIPLINARES</v>
      </c>
      <c r="F113" s="203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</row>
    <row r="114" customFormat="false" ht="15" hidden="false" customHeight="false" outlineLevel="0" collapsed="false">
      <c r="A114" s="200" t="str">
        <f aca="false">IFERROR(__xludf.dummyfunction("""COMPUTED_VALUE"""),"30.3")</f>
        <v>30.3</v>
      </c>
      <c r="B114" s="201" t="str">
        <f aca="false">IFERROR(__xludf.dummyfunction("""COMPUTED_VALUE"""),"Promover a adoção de matrizes curriculares flexíveis e interdisciplinares nos cursos de graduação")</f>
        <v>Promover a adoção de matrizes curriculares flexíveis e interdisciplinares nos cursos de graduação</v>
      </c>
      <c r="C114" s="202" t="n">
        <f aca="false">IFERROR(__xludf.dummyfunction("""COMPUTED_VALUE"""),30)</f>
        <v>30</v>
      </c>
      <c r="D114" s="201" t="str">
        <f aca="false">IFERROR(__xludf.dummyfunction("""COMPUTED_VALUE"""),"Reavaliar as práticas interdisciplinares na UNILA e a atuação dos Centros Intersciplinares para fomentá-las")</f>
        <v>Reavaliar as práticas interdisciplinares na UNILA e a atuação dos Centros Intersciplinares para fomentá-las</v>
      </c>
      <c r="E114" s="202" t="str">
        <f aca="false">IFERROR(__xludf.dummyfunction("""COMPUTED_VALUE"""),"PROGRAD / PRPPG / PROEX / CENTROS INTERDISCIPLINARES")</f>
        <v>PROGRAD / PRPPG / PROEX / CENTROS INTERDISCIPLINARES</v>
      </c>
      <c r="F114" s="203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</row>
    <row r="115" customFormat="false" ht="15" hidden="false" customHeight="false" outlineLevel="0" collapsed="false">
      <c r="A115" s="200" t="str">
        <f aca="false">IFERROR(__xludf.dummyfunction("""COMPUTED_VALUE"""),"30.4")</f>
        <v>30.4</v>
      </c>
      <c r="B115" s="201" t="str">
        <f aca="false">IFERROR(__xludf.dummyfunction("""COMPUTED_VALUE"""),"Promover a integração entre ensino de graduação e pós-graduação, pesquisa e extensão, fortalecendo diálogos / espaços interdisciplinares em núcleos e grupos de ensino, pesquisa e extensão.")</f>
        <v>Promover a integração entre ensino de graduação e pós-graduação, pesquisa e extensão, fortalecendo diálogos / espaços interdisciplinares em núcleos e grupos de ensino, pesquisa e extensão.</v>
      </c>
      <c r="C115" s="202" t="n">
        <f aca="false">IFERROR(__xludf.dummyfunction("""COMPUTED_VALUE"""),30)</f>
        <v>30</v>
      </c>
      <c r="D115" s="201" t="str">
        <f aca="false">IFERROR(__xludf.dummyfunction("""COMPUTED_VALUE"""),"Reavaliar as práticas interdisciplinares na UNILA e a atuação dos Centros Intersciplinares para fomentá-las")</f>
        <v>Reavaliar as práticas interdisciplinares na UNILA e a atuação dos Centros Intersciplinares para fomentá-las</v>
      </c>
      <c r="E115" s="202" t="str">
        <f aca="false">IFERROR(__xludf.dummyfunction("""COMPUTED_VALUE"""),"PROGRAD / PRPPG / PROEX / CENTROS INTERDISCIPLINARES")</f>
        <v>PROGRAD / PRPPG / PROEX / CENTROS INTERDISCIPLINARES</v>
      </c>
      <c r="F115" s="203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</row>
    <row r="116" customFormat="false" ht="15" hidden="false" customHeight="false" outlineLevel="0" collapsed="false">
      <c r="A116" s="200" t="str">
        <f aca="false">IFERROR(__xludf.dummyfunction("""COMPUTED_VALUE"""),"31.1")</f>
        <v>31.1</v>
      </c>
      <c r="B116" s="201" t="str">
        <f aca="false">IFERROR(__xludf.dummyfunction("""COMPUTED_VALUE"""),"Ampliar oferta de capacitação linguistica de curta, média e longa duração e também de especialização e aperfeiçoamento para técnicos e docentes em línguas.")</f>
        <v>Ampliar oferta de capacitação linguistica de curta, média e longa duração e também de especialização e aperfeiçoamento para técnicos e docentes em línguas.</v>
      </c>
      <c r="C116" s="202" t="n">
        <f aca="false">IFERROR(__xludf.dummyfunction("""COMPUTED_VALUE"""),31)</f>
        <v>31</v>
      </c>
      <c r="D116" s="201" t="str">
        <f aca="false">IFERROR(__xludf.dummyfunction("""COMPUTED_VALUE"""),"Elaborar e implementar uma política lingúistica e de interculturalidade")</f>
        <v>Elaborar e implementar uma política lingúistica e de interculturalidade</v>
      </c>
      <c r="E116" s="202" t="str">
        <f aca="false">IFERROR(__xludf.dummyfunction("""COMPUTED_VALUE"""),"PRÓ-REITORIAS FINALÍSTICAS / PROINT / SECOM / INSTITUTOS")</f>
        <v>PRÓ-REITORIAS FINALÍSTICAS / PROINT / SECOM / INSTITUTOS</v>
      </c>
      <c r="F116" s="203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</row>
    <row r="117" customFormat="false" ht="15" hidden="false" customHeight="false" outlineLevel="0" collapsed="false">
      <c r="A117" s="200" t="str">
        <f aca="false">IFERROR(__xludf.dummyfunction("""COMPUTED_VALUE"""),"31.2")</f>
        <v>31.2</v>
      </c>
      <c r="B117" s="201" t="str">
        <f aca="false">IFERROR(__xludf.dummyfunction("""COMPUTED_VALUE"""),"Fomentar a realização de exames de proficiência em língua estrangeira")</f>
        <v>Fomentar a realização de exames de proficiência em língua estrangeira</v>
      </c>
      <c r="C117" s="202" t="n">
        <f aca="false">IFERROR(__xludf.dummyfunction("""COMPUTED_VALUE"""),31)</f>
        <v>31</v>
      </c>
      <c r="D117" s="201" t="str">
        <f aca="false">IFERROR(__xludf.dummyfunction("""COMPUTED_VALUE"""),"Elaborar e implementar uma política lingúistica e de interculturalidade")</f>
        <v>Elaborar e implementar uma política lingúistica e de interculturalidade</v>
      </c>
      <c r="E117" s="202" t="str">
        <f aca="false">IFERROR(__xludf.dummyfunction("""COMPUTED_VALUE"""),"PRÓ-REITORIAS FINALÍSTICAS / PROINT / SECOM / INSTITUTOS")</f>
        <v>PRÓ-REITORIAS FINALÍSTICAS / PROINT / SECOM / INSTITUTOS</v>
      </c>
      <c r="F117" s="203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</row>
    <row r="118" customFormat="false" ht="15" hidden="false" customHeight="false" outlineLevel="0" collapsed="false">
      <c r="A118" s="200" t="str">
        <f aca="false">IFERROR(__xludf.dummyfunction("""COMPUTED_VALUE"""),"31.3")</f>
        <v>31.3</v>
      </c>
      <c r="B118" s="201" t="str">
        <f aca="false">IFERROR(__xludf.dummyfunction("""COMPUTED_VALUE"""),"Implementar a emissão de documentos, materiais diversos e informações institucionais em espanhol")</f>
        <v>Implementar a emissão de documentos, materiais diversos e informações institucionais em espanhol</v>
      </c>
      <c r="C118" s="202" t="n">
        <f aca="false">IFERROR(__xludf.dummyfunction("""COMPUTED_VALUE"""),31)</f>
        <v>31</v>
      </c>
      <c r="D118" s="201" t="str">
        <f aca="false">IFERROR(__xludf.dummyfunction("""COMPUTED_VALUE"""),"Elaborar e implementar uma política lingúistica e de interculturalidade")</f>
        <v>Elaborar e implementar uma política lingúistica e de interculturalidade</v>
      </c>
      <c r="E118" s="202" t="str">
        <f aca="false">IFERROR(__xludf.dummyfunction("""COMPUTED_VALUE"""),"PRÓ-REITORIAS FINALÍSTICAS / PROINT / SECOM / INSTITUTOS")</f>
        <v>PRÓ-REITORIAS FINALÍSTICAS / PROINT / SECOM / INSTITUTOS</v>
      </c>
      <c r="F118" s="203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</row>
    <row r="119" customFormat="false" ht="15" hidden="false" customHeight="false" outlineLevel="0" collapsed="false">
      <c r="A119" s="200" t="str">
        <f aca="false">IFERROR(__xludf.dummyfunction("""COMPUTED_VALUE"""),"31.4")</f>
        <v>31.4</v>
      </c>
      <c r="B119" s="201" t="str">
        <f aca="false">IFERROR(__xludf.dummyfunction("""COMPUTED_VALUE"""),"Ampliar ações interculturais e multilinguísticas na comunidade acadêmica.")</f>
        <v>Ampliar ações interculturais e multilinguísticas na comunidade acadêmica.</v>
      </c>
      <c r="C119" s="202" t="n">
        <f aca="false">IFERROR(__xludf.dummyfunction("""COMPUTED_VALUE"""),31)</f>
        <v>31</v>
      </c>
      <c r="D119" s="201" t="str">
        <f aca="false">IFERROR(__xludf.dummyfunction("""COMPUTED_VALUE"""),"Elaborar e implementar uma política lingúistica e de interculturalidade")</f>
        <v>Elaborar e implementar uma política lingúistica e de interculturalidade</v>
      </c>
      <c r="E119" s="202" t="str">
        <f aca="false">IFERROR(__xludf.dummyfunction("""COMPUTED_VALUE"""),"PRÓ-REITORIAS FINALÍSTICAS / PROINT / SECOM / INSTITUTOS")</f>
        <v>PRÓ-REITORIAS FINALÍSTICAS / PROINT / SECOM / INSTITUTOS</v>
      </c>
      <c r="F119" s="203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</row>
    <row r="120" customFormat="false" ht="15" hidden="false" customHeight="false" outlineLevel="0" collapsed="false">
      <c r="A120" s="200" t="str">
        <f aca="false">IFERROR(__xludf.dummyfunction("""COMPUTED_VALUE"""),"32.1")</f>
        <v>32.1</v>
      </c>
      <c r="B120" s="201" t="str">
        <f aca="false">IFERROR(__xludf.dummyfunction("""COMPUTED_VALUE"""),"Estruturar ações para qualificação profissional permanente e universal de TAEs e docentes, voltadas à compreensão e potencialização do funcionamento do CCE e seus pilares sustentadores: bilinguismo, interdisciplinaridade e integração.")</f>
        <v>Estruturar ações para qualificação profissional permanente e universal de TAEs e docentes, voltadas à compreensão e potencialização do funcionamento do CCE e seus pilares sustentadores: bilinguismo, interdisciplinaridade e integração.</v>
      </c>
      <c r="C120" s="202" t="n">
        <f aca="false">IFERROR(__xludf.dummyfunction("""COMPUTED_VALUE"""),32)</f>
        <v>32</v>
      </c>
      <c r="D120" s="201" t="str">
        <f aca="false">IFERROR(__xludf.dummyfunction("""COMPUTED_VALUE"""),"Fomentar o diálogo entre os setores de gestão, cursos de graduação e Ciclo Comum de Estudos.")</f>
        <v>Fomentar o diálogo entre os setores de gestão, cursos de graduação e Ciclo Comum de Estudos.</v>
      </c>
      <c r="E120" s="202" t="str">
        <f aca="false">IFERROR(__xludf.dummyfunction("""COMPUTED_VALUE"""),"PROGRAD / PROGEPE / INSTITUTOS")</f>
        <v>PROGRAD / PROGEPE / INSTITUTOS</v>
      </c>
      <c r="F120" s="203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</row>
    <row r="121" customFormat="false" ht="15" hidden="false" customHeight="false" outlineLevel="0" collapsed="false">
      <c r="A121" s="200" t="str">
        <f aca="false">IFERROR(__xludf.dummyfunction("""COMPUTED_VALUE"""),"32.2")</f>
        <v>32.2</v>
      </c>
      <c r="B121" s="201" t="str">
        <f aca="false">IFERROR(__xludf.dummyfunction("""COMPUTED_VALUE"""),"fomentar campanhas de esclarecimento quanto ao histórico, à finalidade, à estrutura e ao funcionamento do Ciclo Comum na Universidade")</f>
        <v>fomentar campanhas de esclarecimento quanto ao histórico, à finalidade, à estrutura e ao funcionamento do Ciclo Comum na Universidade</v>
      </c>
      <c r="C121" s="202" t="n">
        <f aca="false">IFERROR(__xludf.dummyfunction("""COMPUTED_VALUE"""),32)</f>
        <v>32</v>
      </c>
      <c r="D121" s="201" t="str">
        <f aca="false">IFERROR(__xludf.dummyfunction("""COMPUTED_VALUE"""),"Fomentar o diálogo entre os setores de gestão, cursos de graduação e Ciclo Comum de Estudos.")</f>
        <v>Fomentar o diálogo entre os setores de gestão, cursos de graduação e Ciclo Comum de Estudos.</v>
      </c>
      <c r="E121" s="202" t="str">
        <f aca="false">IFERROR(__xludf.dummyfunction("""COMPUTED_VALUE"""),"PROGRAD / PROGEPE / INSTITUTOS")</f>
        <v>PROGRAD / PROGEPE / INSTITUTOS</v>
      </c>
      <c r="F121" s="203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</row>
    <row r="122" customFormat="false" ht="15" hidden="false" customHeight="false" outlineLevel="0" collapsed="false">
      <c r="A122" s="200" t="str">
        <f aca="false">IFERROR(__xludf.dummyfunction("""COMPUTED_VALUE"""),"32.3")</f>
        <v>32.3</v>
      </c>
      <c r="B122" s="201" t="str">
        <f aca="false">IFERROR(__xludf.dummyfunction("""COMPUTED_VALUE"""),"Destinar apoio administrativo e equipe de técnicos para o CCE, a fim de existirem condições de atendimento adequado aos cursos de graduação, aos setores de gestão e à comunidade acadêmica em geral.")</f>
        <v>Destinar apoio administrativo e equipe de técnicos para o CCE, a fim de existirem condições de atendimento adequado aos cursos de graduação, aos setores de gestão e à comunidade acadêmica em geral.</v>
      </c>
      <c r="C122" s="202" t="n">
        <f aca="false">IFERROR(__xludf.dummyfunction("""COMPUTED_VALUE"""),32)</f>
        <v>32</v>
      </c>
      <c r="D122" s="201" t="str">
        <f aca="false">IFERROR(__xludf.dummyfunction("""COMPUTED_VALUE"""),"Fomentar o diálogo entre os setores de gestão, cursos de graduação e Ciclo Comum de Estudos.")</f>
        <v>Fomentar o diálogo entre os setores de gestão, cursos de graduação e Ciclo Comum de Estudos.</v>
      </c>
      <c r="E122" s="202" t="str">
        <f aca="false">IFERROR(__xludf.dummyfunction("""COMPUTED_VALUE"""),"PROGRAD / PROGEPE / INSTITUTOS")</f>
        <v>PROGRAD / PROGEPE / INSTITUTOS</v>
      </c>
      <c r="F122" s="203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</row>
    <row r="123" customFormat="false" ht="15" hidden="false" customHeight="false" outlineLevel="0" collapsed="false">
      <c r="A123" s="200" t="str">
        <f aca="false">IFERROR(__xludf.dummyfunction("""COMPUTED_VALUE"""),"32.4")</f>
        <v>32.4</v>
      </c>
      <c r="B123" s="201" t="str">
        <f aca="false">IFERROR(__xludf.dummyfunction("""COMPUTED_VALUE"""),"Concluir/completar o processo de institucionalização do CCE")</f>
        <v>Concluir/completar o processo de institucionalização do CCE</v>
      </c>
      <c r="C123" s="202" t="n">
        <f aca="false">IFERROR(__xludf.dummyfunction("""COMPUTED_VALUE"""),32)</f>
        <v>32</v>
      </c>
      <c r="D123" s="201" t="str">
        <f aca="false">IFERROR(__xludf.dummyfunction("""COMPUTED_VALUE"""),"Fomentar o diálogo entre os setores de gestão, cursos de graduação e Ciclo Comum de Estudos.")</f>
        <v>Fomentar o diálogo entre os setores de gestão, cursos de graduação e Ciclo Comum de Estudos.</v>
      </c>
      <c r="E123" s="202" t="str">
        <f aca="false">IFERROR(__xludf.dummyfunction("""COMPUTED_VALUE"""),"PROGRAD / PROGEPE / INSTITUTOS")</f>
        <v>PROGRAD / PROGEPE / INSTITUTOS</v>
      </c>
      <c r="F123" s="203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</row>
    <row r="124" customFormat="false" ht="15" hidden="false" customHeight="false" outlineLevel="0" collapsed="false">
      <c r="A124" s="200" t="str">
        <f aca="false">IFERROR(__xludf.dummyfunction("""COMPUTED_VALUE"""),"32.5")</f>
        <v>32.5</v>
      </c>
      <c r="B124" s="201" t="str">
        <f aca="false">IFERROR(__xludf.dummyfunction("""COMPUTED_VALUE"""),"Reavaliar, periodicamente, os resultados da avaliação institucional quanto ao CCE")</f>
        <v>Reavaliar, periodicamente, os resultados da avaliação institucional quanto ao CCE</v>
      </c>
      <c r="C124" s="202" t="n">
        <f aca="false">IFERROR(__xludf.dummyfunction("""COMPUTED_VALUE"""),32)</f>
        <v>32</v>
      </c>
      <c r="D124" s="201" t="str">
        <f aca="false">IFERROR(__xludf.dummyfunction("""COMPUTED_VALUE"""),"Fomentar o diálogo entre os setores de gestão, cursos de graduação e Ciclo Comum de Estudos.")</f>
        <v>Fomentar o diálogo entre os setores de gestão, cursos de graduação e Ciclo Comum de Estudos.</v>
      </c>
      <c r="E124" s="202" t="str">
        <f aca="false">IFERROR(__xludf.dummyfunction("""COMPUTED_VALUE"""),"PROGRAD / PROGEPE / INSTITUTOS")</f>
        <v>PROGRAD / PROGEPE / INSTITUTOS</v>
      </c>
      <c r="F124" s="203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</row>
    <row r="125" customFormat="false" ht="15" hidden="false" customHeight="false" outlineLevel="0" collapsed="false">
      <c r="A125" s="200" t="str">
        <f aca="false">IFERROR(__xludf.dummyfunction("""COMPUTED_VALUE"""),"33.1")</f>
        <v>33.1</v>
      </c>
      <c r="B125" s="201" t="str">
        <f aca="false">IFERROR(__xludf.dummyfunction("""COMPUTED_VALUE"""),"Consolidar os espaços universitários próprios.")</f>
        <v>Consolidar os espaços universitários próprios.</v>
      </c>
      <c r="C125" s="202" t="n">
        <f aca="false">IFERROR(__xludf.dummyfunction("""COMPUTED_VALUE"""),33)</f>
        <v>33</v>
      </c>
      <c r="D125" s="201" t="str">
        <f aca="false">IFERROR(__xludf.dummyfunction("""COMPUTED_VALUE"""),"Consolidar e ampliar a infraestrutura física da UNILA")</f>
        <v>Consolidar e ampliar a infraestrutura física da UNILA</v>
      </c>
      <c r="E125" s="202" t="str">
        <f aca="false">IFERROR(__xludf.dummyfunction("""COMPUTED_VALUE"""),"SECIC")</f>
        <v>SECIC</v>
      </c>
      <c r="F125" s="203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</row>
    <row r="126" customFormat="false" ht="15" hidden="false" customHeight="false" outlineLevel="0" collapsed="false">
      <c r="A126" s="200" t="str">
        <f aca="false">IFERROR(__xludf.dummyfunction("""COMPUTED_VALUE"""),"33.2")</f>
        <v>33.2</v>
      </c>
      <c r="B126" s="201" t="str">
        <f aca="false">IFERROR(__xludf.dummyfunction("""COMPUTED_VALUE"""),"Consolidar a construção do planejamento e seus respectivos instrumentos ( planos e normativas) na área de Infraestrutura;")</f>
        <v>Consolidar a construção do planejamento e seus respectivos instrumentos ( planos e normativas) na área de Infraestrutura;</v>
      </c>
      <c r="C126" s="202" t="n">
        <f aca="false">IFERROR(__xludf.dummyfunction("""COMPUTED_VALUE"""),33)</f>
        <v>33</v>
      </c>
      <c r="D126" s="201" t="str">
        <f aca="false">IFERROR(__xludf.dummyfunction("""COMPUTED_VALUE"""),"Consolidar e ampliar a infraestrutura física da UNILA")</f>
        <v>Consolidar e ampliar a infraestrutura física da UNILA</v>
      </c>
      <c r="E126" s="202" t="str">
        <f aca="false">IFERROR(__xludf.dummyfunction("""COMPUTED_VALUE"""),"SECIC")</f>
        <v>SECIC</v>
      </c>
      <c r="F126" s="203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</row>
    <row r="127" customFormat="false" ht="15" hidden="false" customHeight="false" outlineLevel="0" collapsed="false">
      <c r="A127" s="200" t="str">
        <f aca="false">IFERROR(__xludf.dummyfunction("""COMPUTED_VALUE"""),"33.3")</f>
        <v>33.3</v>
      </c>
      <c r="B127" s="201" t="str">
        <f aca="false">IFERROR(__xludf.dummyfunction("""COMPUTED_VALUE"""),"Qualificar os ambientes e estruturas provisórias, para promover condições de desenvolvimento das atividades acadêmicas;")</f>
        <v>Qualificar os ambientes e estruturas provisórias, para promover condições de desenvolvimento das atividades acadêmicas;</v>
      </c>
      <c r="C127" s="202" t="n">
        <f aca="false">IFERROR(__xludf.dummyfunction("""COMPUTED_VALUE"""),33)</f>
        <v>33</v>
      </c>
      <c r="D127" s="201" t="str">
        <f aca="false">IFERROR(__xludf.dummyfunction("""COMPUTED_VALUE"""),"Consolidar e ampliar a infraestrutura física da UNILA")</f>
        <v>Consolidar e ampliar a infraestrutura física da UNILA</v>
      </c>
      <c r="E127" s="202" t="str">
        <f aca="false">IFERROR(__xludf.dummyfunction("""COMPUTED_VALUE"""),"SECIC")</f>
        <v>SECIC</v>
      </c>
      <c r="F127" s="203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</row>
    <row r="128" customFormat="false" ht="15" hidden="false" customHeight="false" outlineLevel="0" collapsed="false">
      <c r="A128" s="199"/>
      <c r="B128" s="199"/>
      <c r="C128" s="199"/>
      <c r="D128" s="199"/>
      <c r="E128" s="199"/>
      <c r="F128" s="205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</row>
    <row r="129" customFormat="false" ht="15" hidden="false" customHeight="false" outlineLevel="0" collapsed="false">
      <c r="A129" s="199"/>
      <c r="B129" s="199"/>
      <c r="C129" s="199"/>
      <c r="D129" s="199"/>
      <c r="E129" s="199"/>
      <c r="F129" s="205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</row>
    <row r="130" customFormat="false" ht="15" hidden="false" customHeight="false" outlineLevel="0" collapsed="false">
      <c r="A130" s="199"/>
      <c r="B130" s="199"/>
      <c r="C130" s="199"/>
      <c r="D130" s="199"/>
      <c r="E130" s="199"/>
      <c r="F130" s="205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</row>
    <row r="131" customFormat="false" ht="15" hidden="false" customHeight="false" outlineLevel="0" collapsed="false">
      <c r="A131" s="199"/>
      <c r="B131" s="199"/>
      <c r="C131" s="199"/>
      <c r="D131" s="199"/>
      <c r="E131" s="199"/>
      <c r="F131" s="205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</row>
    <row r="132" customFormat="false" ht="15" hidden="false" customHeight="false" outlineLevel="0" collapsed="false">
      <c r="A132" s="199"/>
      <c r="B132" s="199"/>
      <c r="C132" s="199"/>
      <c r="D132" s="199"/>
      <c r="E132" s="199"/>
      <c r="F132" s="205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</row>
    <row r="133" customFormat="false" ht="15" hidden="false" customHeight="false" outlineLevel="0" collapsed="false">
      <c r="A133" s="199"/>
      <c r="B133" s="199"/>
      <c r="C133" s="199"/>
      <c r="D133" s="199"/>
      <c r="E133" s="199"/>
      <c r="F133" s="205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</row>
    <row r="134" customFormat="false" ht="15" hidden="false" customHeight="false" outlineLevel="0" collapsed="false">
      <c r="A134" s="199"/>
      <c r="B134" s="199"/>
      <c r="C134" s="199"/>
      <c r="D134" s="199"/>
      <c r="E134" s="199"/>
      <c r="F134" s="205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</row>
    <row r="135" customFormat="false" ht="15" hidden="false" customHeight="false" outlineLevel="0" collapsed="false">
      <c r="A135" s="199"/>
      <c r="B135" s="199"/>
      <c r="C135" s="199"/>
      <c r="D135" s="199"/>
      <c r="E135" s="199"/>
      <c r="F135" s="205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</row>
    <row r="136" customFormat="false" ht="15" hidden="false" customHeight="false" outlineLevel="0" collapsed="false">
      <c r="A136" s="199"/>
      <c r="B136" s="199"/>
      <c r="C136" s="199"/>
      <c r="D136" s="199"/>
      <c r="E136" s="199"/>
      <c r="F136" s="205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</row>
    <row r="137" customFormat="false" ht="15" hidden="false" customHeight="false" outlineLevel="0" collapsed="false">
      <c r="A137" s="199"/>
      <c r="B137" s="199"/>
      <c r="C137" s="199"/>
      <c r="D137" s="199"/>
      <c r="E137" s="199"/>
      <c r="F137" s="205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</row>
    <row r="138" customFormat="false" ht="15" hidden="false" customHeight="false" outlineLevel="0" collapsed="false">
      <c r="A138" s="199"/>
      <c r="B138" s="199"/>
      <c r="C138" s="199"/>
      <c r="D138" s="199"/>
      <c r="E138" s="199"/>
      <c r="F138" s="205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</row>
    <row r="139" customFormat="false" ht="15" hidden="false" customHeight="false" outlineLevel="0" collapsed="false">
      <c r="A139" s="199"/>
      <c r="B139" s="199"/>
      <c r="C139" s="199"/>
      <c r="D139" s="199"/>
      <c r="E139" s="199"/>
      <c r="F139" s="205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</row>
    <row r="140" customFormat="false" ht="15" hidden="false" customHeight="false" outlineLevel="0" collapsed="false">
      <c r="A140" s="199"/>
      <c r="B140" s="199"/>
      <c r="C140" s="199"/>
      <c r="D140" s="199"/>
      <c r="E140" s="199"/>
      <c r="F140" s="205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</row>
    <row r="141" customFormat="false" ht="15" hidden="false" customHeight="false" outlineLevel="0" collapsed="false">
      <c r="A141" s="199"/>
      <c r="B141" s="199"/>
      <c r="C141" s="199"/>
      <c r="D141" s="199"/>
      <c r="E141" s="199"/>
      <c r="F141" s="205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</row>
    <row r="142" customFormat="false" ht="15" hidden="false" customHeight="false" outlineLevel="0" collapsed="false">
      <c r="A142" s="199"/>
      <c r="B142" s="199"/>
      <c r="C142" s="199"/>
      <c r="D142" s="199"/>
      <c r="E142" s="199"/>
      <c r="F142" s="205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</row>
    <row r="143" customFormat="false" ht="15" hidden="false" customHeight="false" outlineLevel="0" collapsed="false">
      <c r="A143" s="199"/>
      <c r="B143" s="199"/>
      <c r="C143" s="199"/>
      <c r="D143" s="199"/>
      <c r="E143" s="199"/>
      <c r="F143" s="205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</row>
    <row r="144" customFormat="false" ht="15" hidden="false" customHeight="false" outlineLevel="0" collapsed="false">
      <c r="A144" s="199"/>
      <c r="B144" s="199"/>
      <c r="C144" s="199"/>
      <c r="D144" s="199"/>
      <c r="E144" s="199"/>
      <c r="F144" s="205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</row>
    <row r="145" customFormat="false" ht="15" hidden="false" customHeight="false" outlineLevel="0" collapsed="false">
      <c r="A145" s="199"/>
      <c r="B145" s="199"/>
      <c r="C145" s="199"/>
      <c r="D145" s="199"/>
      <c r="E145" s="199"/>
      <c r="F145" s="205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</row>
    <row r="146" customFormat="false" ht="15" hidden="false" customHeight="false" outlineLevel="0" collapsed="false">
      <c r="A146" s="199"/>
      <c r="B146" s="199"/>
      <c r="C146" s="199"/>
      <c r="D146" s="199"/>
      <c r="E146" s="199"/>
      <c r="F146" s="205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</row>
    <row r="147" customFormat="false" ht="15" hidden="false" customHeight="false" outlineLevel="0" collapsed="false">
      <c r="A147" s="199"/>
      <c r="B147" s="199"/>
      <c r="C147" s="199"/>
      <c r="D147" s="199"/>
      <c r="E147" s="199"/>
      <c r="F147" s="205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</row>
    <row r="148" customFormat="false" ht="15" hidden="false" customHeight="false" outlineLevel="0" collapsed="false">
      <c r="A148" s="199"/>
      <c r="B148" s="199"/>
      <c r="C148" s="199"/>
      <c r="D148" s="199"/>
      <c r="E148" s="199"/>
      <c r="F148" s="205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</row>
    <row r="149" customFormat="false" ht="15" hidden="false" customHeight="false" outlineLevel="0" collapsed="false">
      <c r="A149" s="199"/>
      <c r="B149" s="199"/>
      <c r="C149" s="199"/>
      <c r="D149" s="199"/>
      <c r="E149" s="199"/>
      <c r="F149" s="205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</row>
    <row r="150" customFormat="false" ht="15" hidden="false" customHeight="false" outlineLevel="0" collapsed="false">
      <c r="A150" s="199"/>
      <c r="B150" s="199"/>
      <c r="C150" s="199"/>
      <c r="D150" s="199"/>
      <c r="E150" s="199"/>
      <c r="F150" s="205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</row>
    <row r="151" customFormat="false" ht="15" hidden="false" customHeight="false" outlineLevel="0" collapsed="false">
      <c r="A151" s="199"/>
      <c r="B151" s="199"/>
      <c r="C151" s="199"/>
      <c r="D151" s="199"/>
      <c r="E151" s="199"/>
      <c r="F151" s="205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</row>
    <row r="152" customFormat="false" ht="15" hidden="false" customHeight="false" outlineLevel="0" collapsed="false">
      <c r="A152" s="199"/>
      <c r="B152" s="199"/>
      <c r="C152" s="199"/>
      <c r="D152" s="199"/>
      <c r="E152" s="199"/>
      <c r="F152" s="205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</row>
    <row r="153" customFormat="false" ht="15" hidden="false" customHeight="false" outlineLevel="0" collapsed="false">
      <c r="A153" s="199"/>
      <c r="B153" s="199"/>
      <c r="C153" s="199"/>
      <c r="D153" s="199"/>
      <c r="E153" s="199"/>
      <c r="F153" s="205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</row>
    <row r="154" customFormat="false" ht="15" hidden="false" customHeight="false" outlineLevel="0" collapsed="false">
      <c r="A154" s="199"/>
      <c r="B154" s="199"/>
      <c r="C154" s="199"/>
      <c r="D154" s="199"/>
      <c r="E154" s="199"/>
      <c r="F154" s="205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</row>
    <row r="155" customFormat="false" ht="15" hidden="false" customHeight="false" outlineLevel="0" collapsed="false">
      <c r="A155" s="199"/>
      <c r="B155" s="199"/>
      <c r="C155" s="199"/>
      <c r="D155" s="199"/>
      <c r="E155" s="199"/>
      <c r="F155" s="205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</row>
    <row r="156" customFormat="false" ht="15" hidden="false" customHeight="false" outlineLevel="0" collapsed="false">
      <c r="A156" s="199"/>
      <c r="B156" s="199"/>
      <c r="C156" s="199"/>
      <c r="D156" s="199"/>
      <c r="E156" s="199"/>
      <c r="F156" s="205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</row>
    <row r="157" customFormat="false" ht="15" hidden="false" customHeight="false" outlineLevel="0" collapsed="false">
      <c r="A157" s="199"/>
      <c r="B157" s="199"/>
      <c r="C157" s="199"/>
      <c r="D157" s="199"/>
      <c r="E157" s="199"/>
      <c r="F157" s="205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</row>
    <row r="158" customFormat="false" ht="15" hidden="false" customHeight="false" outlineLevel="0" collapsed="false">
      <c r="A158" s="199"/>
      <c r="B158" s="199"/>
      <c r="C158" s="199"/>
      <c r="D158" s="199"/>
      <c r="E158" s="199"/>
      <c r="F158" s="205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</row>
    <row r="159" customFormat="false" ht="15" hidden="false" customHeight="false" outlineLevel="0" collapsed="false">
      <c r="A159" s="199"/>
      <c r="B159" s="199"/>
      <c r="C159" s="199"/>
      <c r="D159" s="199"/>
      <c r="E159" s="199"/>
      <c r="F159" s="205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</row>
    <row r="160" customFormat="false" ht="15" hidden="false" customHeight="false" outlineLevel="0" collapsed="false">
      <c r="A160" s="199"/>
      <c r="B160" s="199"/>
      <c r="C160" s="199"/>
      <c r="D160" s="199"/>
      <c r="E160" s="199"/>
      <c r="F160" s="205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</row>
    <row r="161" customFormat="false" ht="15" hidden="false" customHeight="false" outlineLevel="0" collapsed="false">
      <c r="A161" s="199"/>
      <c r="B161" s="199"/>
      <c r="C161" s="199"/>
      <c r="D161" s="199"/>
      <c r="E161" s="199"/>
      <c r="F161" s="205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</row>
    <row r="162" customFormat="false" ht="15" hidden="false" customHeight="false" outlineLevel="0" collapsed="false">
      <c r="A162" s="199"/>
      <c r="B162" s="199"/>
      <c r="C162" s="199"/>
      <c r="D162" s="199"/>
      <c r="E162" s="199"/>
      <c r="F162" s="205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</row>
    <row r="163" customFormat="false" ht="15" hidden="false" customHeight="false" outlineLevel="0" collapsed="false">
      <c r="A163" s="199"/>
      <c r="B163" s="199"/>
      <c r="C163" s="199"/>
      <c r="D163" s="199"/>
      <c r="E163" s="199"/>
      <c r="F163" s="205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</row>
    <row r="164" customFormat="false" ht="15" hidden="false" customHeight="false" outlineLevel="0" collapsed="false">
      <c r="A164" s="199"/>
      <c r="B164" s="199"/>
      <c r="C164" s="199"/>
      <c r="D164" s="199"/>
      <c r="E164" s="199"/>
      <c r="F164" s="205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</row>
    <row r="165" customFormat="false" ht="15" hidden="false" customHeight="false" outlineLevel="0" collapsed="false">
      <c r="A165" s="199"/>
      <c r="B165" s="199"/>
      <c r="C165" s="199"/>
      <c r="D165" s="199"/>
      <c r="E165" s="199"/>
      <c r="F165" s="205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</row>
    <row r="166" customFormat="false" ht="15" hidden="false" customHeight="false" outlineLevel="0" collapsed="false">
      <c r="A166" s="199"/>
      <c r="B166" s="199"/>
      <c r="C166" s="199"/>
      <c r="D166" s="199"/>
      <c r="E166" s="199"/>
      <c r="F166" s="205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</row>
    <row r="167" customFormat="false" ht="15" hidden="false" customHeight="false" outlineLevel="0" collapsed="false">
      <c r="A167" s="199"/>
      <c r="B167" s="199"/>
      <c r="C167" s="199"/>
      <c r="D167" s="199"/>
      <c r="E167" s="199"/>
      <c r="F167" s="205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</row>
    <row r="168" customFormat="false" ht="15" hidden="false" customHeight="false" outlineLevel="0" collapsed="false">
      <c r="A168" s="199"/>
      <c r="B168" s="199"/>
      <c r="C168" s="199"/>
      <c r="D168" s="199"/>
      <c r="E168" s="199"/>
      <c r="F168" s="205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</row>
    <row r="169" customFormat="false" ht="15" hidden="false" customHeight="false" outlineLevel="0" collapsed="false">
      <c r="A169" s="199"/>
      <c r="B169" s="199"/>
      <c r="C169" s="199"/>
      <c r="D169" s="199"/>
      <c r="E169" s="199"/>
      <c r="F169" s="205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</row>
    <row r="170" customFormat="false" ht="15" hidden="false" customHeight="false" outlineLevel="0" collapsed="false">
      <c r="A170" s="199"/>
      <c r="B170" s="199"/>
      <c r="C170" s="199"/>
      <c r="D170" s="199"/>
      <c r="E170" s="199"/>
      <c r="F170" s="205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</row>
    <row r="171" customFormat="false" ht="15" hidden="false" customHeight="false" outlineLevel="0" collapsed="false">
      <c r="A171" s="199"/>
      <c r="B171" s="199"/>
      <c r="C171" s="199"/>
      <c r="D171" s="199"/>
      <c r="E171" s="199"/>
      <c r="F171" s="205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</row>
    <row r="172" customFormat="false" ht="15" hidden="false" customHeight="false" outlineLevel="0" collapsed="false">
      <c r="A172" s="199"/>
      <c r="B172" s="199"/>
      <c r="C172" s="199"/>
      <c r="D172" s="199"/>
      <c r="E172" s="199"/>
      <c r="F172" s="205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</row>
    <row r="173" customFormat="false" ht="15" hidden="false" customHeight="false" outlineLevel="0" collapsed="false">
      <c r="A173" s="199"/>
      <c r="B173" s="199"/>
      <c r="C173" s="199"/>
      <c r="D173" s="199"/>
      <c r="E173" s="199"/>
      <c r="F173" s="205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</row>
    <row r="174" customFormat="false" ht="15" hidden="false" customHeight="false" outlineLevel="0" collapsed="false">
      <c r="A174" s="199"/>
      <c r="B174" s="199"/>
      <c r="C174" s="199"/>
      <c r="D174" s="199"/>
      <c r="E174" s="199"/>
      <c r="F174" s="205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</row>
    <row r="175" customFormat="false" ht="15" hidden="false" customHeight="false" outlineLevel="0" collapsed="false">
      <c r="A175" s="199"/>
      <c r="B175" s="199"/>
      <c r="C175" s="199"/>
      <c r="D175" s="199"/>
      <c r="E175" s="199"/>
      <c r="F175" s="205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</row>
    <row r="176" customFormat="false" ht="15" hidden="false" customHeight="false" outlineLevel="0" collapsed="false">
      <c r="A176" s="199"/>
      <c r="B176" s="199"/>
      <c r="C176" s="199"/>
      <c r="D176" s="199"/>
      <c r="E176" s="199"/>
      <c r="F176" s="205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</row>
    <row r="177" customFormat="false" ht="15" hidden="false" customHeight="false" outlineLevel="0" collapsed="false">
      <c r="A177" s="199"/>
      <c r="B177" s="199"/>
      <c r="C177" s="199"/>
      <c r="D177" s="199"/>
      <c r="E177" s="199"/>
      <c r="F177" s="205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</row>
    <row r="178" customFormat="false" ht="15" hidden="false" customHeight="false" outlineLevel="0" collapsed="false">
      <c r="A178" s="199"/>
      <c r="B178" s="199"/>
      <c r="C178" s="199"/>
      <c r="D178" s="199"/>
      <c r="E178" s="199"/>
      <c r="F178" s="205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</row>
    <row r="179" customFormat="false" ht="15" hidden="false" customHeight="false" outlineLevel="0" collapsed="false">
      <c r="A179" s="199"/>
      <c r="B179" s="199"/>
      <c r="C179" s="199"/>
      <c r="D179" s="199"/>
      <c r="E179" s="199"/>
      <c r="F179" s="205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</row>
    <row r="180" customFormat="false" ht="15" hidden="false" customHeight="false" outlineLevel="0" collapsed="false">
      <c r="A180" s="199"/>
      <c r="B180" s="199"/>
      <c r="C180" s="199"/>
      <c r="D180" s="199"/>
      <c r="E180" s="199"/>
      <c r="F180" s="205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</row>
    <row r="181" customFormat="false" ht="15" hidden="false" customHeight="false" outlineLevel="0" collapsed="false">
      <c r="A181" s="199"/>
      <c r="B181" s="199"/>
      <c r="C181" s="199"/>
      <c r="D181" s="199"/>
      <c r="E181" s="199"/>
      <c r="F181" s="205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</row>
    <row r="182" customFormat="false" ht="15" hidden="false" customHeight="false" outlineLevel="0" collapsed="false">
      <c r="A182" s="199"/>
      <c r="B182" s="199"/>
      <c r="C182" s="199"/>
      <c r="D182" s="199"/>
      <c r="E182" s="199"/>
      <c r="F182" s="205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</row>
    <row r="183" customFormat="false" ht="15" hidden="false" customHeight="false" outlineLevel="0" collapsed="false">
      <c r="A183" s="199"/>
      <c r="B183" s="199"/>
      <c r="C183" s="199"/>
      <c r="D183" s="199"/>
      <c r="E183" s="199"/>
      <c r="F183" s="205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</row>
    <row r="184" customFormat="false" ht="15" hidden="false" customHeight="false" outlineLevel="0" collapsed="false">
      <c r="A184" s="199"/>
      <c r="B184" s="199"/>
      <c r="C184" s="199"/>
      <c r="D184" s="199"/>
      <c r="E184" s="199"/>
      <c r="F184" s="205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</row>
    <row r="185" customFormat="false" ht="15" hidden="false" customHeight="false" outlineLevel="0" collapsed="false">
      <c r="A185" s="199"/>
      <c r="B185" s="199"/>
      <c r="C185" s="199"/>
      <c r="D185" s="199"/>
      <c r="E185" s="199"/>
      <c r="F185" s="205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</row>
    <row r="186" customFormat="false" ht="15" hidden="false" customHeight="false" outlineLevel="0" collapsed="false">
      <c r="A186" s="199"/>
      <c r="B186" s="199"/>
      <c r="C186" s="199"/>
      <c r="D186" s="199"/>
      <c r="E186" s="199"/>
      <c r="F186" s="205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</row>
    <row r="187" customFormat="false" ht="15" hidden="false" customHeight="false" outlineLevel="0" collapsed="false">
      <c r="A187" s="199"/>
      <c r="B187" s="199"/>
      <c r="C187" s="199"/>
      <c r="D187" s="199"/>
      <c r="E187" s="199"/>
      <c r="F187" s="205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</row>
    <row r="188" customFormat="false" ht="15" hidden="false" customHeight="false" outlineLevel="0" collapsed="false">
      <c r="A188" s="199"/>
      <c r="B188" s="199"/>
      <c r="C188" s="199"/>
      <c r="D188" s="199"/>
      <c r="E188" s="199"/>
      <c r="F188" s="205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</row>
    <row r="189" customFormat="false" ht="15" hidden="false" customHeight="false" outlineLevel="0" collapsed="false">
      <c r="A189" s="199"/>
      <c r="B189" s="199"/>
      <c r="C189" s="199"/>
      <c r="D189" s="199"/>
      <c r="E189" s="199"/>
      <c r="F189" s="205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</row>
    <row r="190" customFormat="false" ht="15" hidden="false" customHeight="false" outlineLevel="0" collapsed="false">
      <c r="A190" s="199"/>
      <c r="B190" s="199"/>
      <c r="C190" s="199"/>
      <c r="D190" s="199"/>
      <c r="E190" s="199"/>
      <c r="F190" s="205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</row>
    <row r="191" customFormat="false" ht="15" hidden="false" customHeight="false" outlineLevel="0" collapsed="false">
      <c r="A191" s="199"/>
      <c r="B191" s="199"/>
      <c r="C191" s="199"/>
      <c r="D191" s="199"/>
      <c r="E191" s="199"/>
      <c r="F191" s="205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</row>
    <row r="192" customFormat="false" ht="15" hidden="false" customHeight="false" outlineLevel="0" collapsed="false">
      <c r="A192" s="199"/>
      <c r="B192" s="199"/>
      <c r="C192" s="199"/>
      <c r="D192" s="199"/>
      <c r="E192" s="199"/>
      <c r="F192" s="205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</row>
    <row r="193" customFormat="false" ht="15" hidden="false" customHeight="false" outlineLevel="0" collapsed="false">
      <c r="A193" s="199"/>
      <c r="B193" s="199"/>
      <c r="C193" s="199"/>
      <c r="D193" s="199"/>
      <c r="E193" s="199"/>
      <c r="F193" s="205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</row>
    <row r="194" customFormat="false" ht="15" hidden="false" customHeight="false" outlineLevel="0" collapsed="false">
      <c r="A194" s="199"/>
      <c r="B194" s="199"/>
      <c r="C194" s="199"/>
      <c r="D194" s="199"/>
      <c r="E194" s="199"/>
      <c r="F194" s="205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</row>
    <row r="195" customFormat="false" ht="15" hidden="false" customHeight="false" outlineLevel="0" collapsed="false">
      <c r="A195" s="199"/>
      <c r="B195" s="199"/>
      <c r="C195" s="199"/>
      <c r="D195" s="199"/>
      <c r="E195" s="199"/>
      <c r="F195" s="205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</row>
    <row r="196" customFormat="false" ht="15" hidden="false" customHeight="false" outlineLevel="0" collapsed="false">
      <c r="A196" s="199"/>
      <c r="B196" s="199"/>
      <c r="C196" s="199"/>
      <c r="D196" s="199"/>
      <c r="E196" s="199"/>
      <c r="F196" s="205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</row>
    <row r="197" customFormat="false" ht="15" hidden="false" customHeight="false" outlineLevel="0" collapsed="false">
      <c r="A197" s="199"/>
      <c r="B197" s="199"/>
      <c r="C197" s="199"/>
      <c r="D197" s="199"/>
      <c r="E197" s="199"/>
      <c r="F197" s="205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</row>
    <row r="198" customFormat="false" ht="15" hidden="false" customHeight="false" outlineLevel="0" collapsed="false">
      <c r="A198" s="199"/>
      <c r="B198" s="199"/>
      <c r="C198" s="199"/>
      <c r="D198" s="199"/>
      <c r="E198" s="199"/>
      <c r="F198" s="205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</row>
    <row r="199" customFormat="false" ht="15" hidden="false" customHeight="false" outlineLevel="0" collapsed="false">
      <c r="A199" s="199"/>
      <c r="B199" s="199"/>
      <c r="C199" s="199"/>
      <c r="D199" s="199"/>
      <c r="E199" s="199"/>
      <c r="F199" s="205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</row>
    <row r="200" customFormat="false" ht="15" hidden="false" customHeight="false" outlineLevel="0" collapsed="false">
      <c r="A200" s="199"/>
      <c r="B200" s="199"/>
      <c r="C200" s="199"/>
      <c r="D200" s="199"/>
      <c r="E200" s="199"/>
      <c r="F200" s="205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</row>
    <row r="201" customFormat="false" ht="15" hidden="false" customHeight="false" outlineLevel="0" collapsed="false">
      <c r="A201" s="199"/>
      <c r="B201" s="199"/>
      <c r="C201" s="199"/>
      <c r="D201" s="199"/>
      <c r="E201" s="199"/>
      <c r="F201" s="205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</row>
    <row r="202" customFormat="false" ht="15" hidden="false" customHeight="false" outlineLevel="0" collapsed="false">
      <c r="A202" s="199"/>
      <c r="B202" s="199"/>
      <c r="C202" s="199"/>
      <c r="D202" s="199"/>
      <c r="E202" s="199"/>
      <c r="F202" s="205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</row>
    <row r="203" customFormat="false" ht="15" hidden="false" customHeight="false" outlineLevel="0" collapsed="false">
      <c r="A203" s="199"/>
      <c r="B203" s="199"/>
      <c r="C203" s="199"/>
      <c r="D203" s="199"/>
      <c r="E203" s="199"/>
      <c r="F203" s="205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</row>
    <row r="204" customFormat="false" ht="15" hidden="false" customHeight="false" outlineLevel="0" collapsed="false">
      <c r="A204" s="199"/>
      <c r="B204" s="199"/>
      <c r="C204" s="199"/>
      <c r="D204" s="199"/>
      <c r="E204" s="199"/>
      <c r="F204" s="205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</row>
    <row r="205" customFormat="false" ht="15" hidden="false" customHeight="false" outlineLevel="0" collapsed="false">
      <c r="A205" s="199"/>
      <c r="B205" s="199"/>
      <c r="C205" s="199"/>
      <c r="D205" s="199"/>
      <c r="E205" s="199"/>
      <c r="F205" s="205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</row>
    <row r="206" customFormat="false" ht="15" hidden="false" customHeight="false" outlineLevel="0" collapsed="false">
      <c r="A206" s="199"/>
      <c r="B206" s="199"/>
      <c r="C206" s="199"/>
      <c r="D206" s="199"/>
      <c r="E206" s="199"/>
      <c r="F206" s="205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</row>
    <row r="207" customFormat="false" ht="15" hidden="false" customHeight="false" outlineLevel="0" collapsed="false">
      <c r="A207" s="199"/>
      <c r="B207" s="199"/>
      <c r="C207" s="199"/>
      <c r="D207" s="199"/>
      <c r="E207" s="199"/>
      <c r="F207" s="205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</row>
    <row r="208" customFormat="false" ht="15" hidden="false" customHeight="false" outlineLevel="0" collapsed="false">
      <c r="A208" s="199"/>
      <c r="B208" s="199"/>
      <c r="C208" s="199"/>
      <c r="D208" s="199"/>
      <c r="E208" s="199"/>
      <c r="F208" s="205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</row>
    <row r="209" customFormat="false" ht="15" hidden="false" customHeight="false" outlineLevel="0" collapsed="false">
      <c r="A209" s="199"/>
      <c r="B209" s="199"/>
      <c r="C209" s="199"/>
      <c r="D209" s="199"/>
      <c r="E209" s="199"/>
      <c r="F209" s="205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</row>
    <row r="210" customFormat="false" ht="15" hidden="false" customHeight="false" outlineLevel="0" collapsed="false">
      <c r="A210" s="199"/>
      <c r="B210" s="199"/>
      <c r="C210" s="199"/>
      <c r="D210" s="199"/>
      <c r="E210" s="199"/>
      <c r="F210" s="205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</row>
    <row r="211" customFormat="false" ht="15" hidden="false" customHeight="false" outlineLevel="0" collapsed="false">
      <c r="A211" s="199"/>
      <c r="B211" s="199"/>
      <c r="C211" s="199"/>
      <c r="D211" s="199"/>
      <c r="E211" s="199"/>
      <c r="F211" s="205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</row>
    <row r="212" customFormat="false" ht="15" hidden="false" customHeight="false" outlineLevel="0" collapsed="false">
      <c r="A212" s="199"/>
      <c r="B212" s="199"/>
      <c r="C212" s="199"/>
      <c r="D212" s="199"/>
      <c r="E212" s="199"/>
      <c r="F212" s="205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</row>
    <row r="213" customFormat="false" ht="15" hidden="false" customHeight="false" outlineLevel="0" collapsed="false">
      <c r="A213" s="199"/>
      <c r="B213" s="199"/>
      <c r="C213" s="199"/>
      <c r="D213" s="199"/>
      <c r="E213" s="199"/>
      <c r="F213" s="205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</row>
    <row r="214" customFormat="false" ht="15" hidden="false" customHeight="false" outlineLevel="0" collapsed="false">
      <c r="A214" s="199"/>
      <c r="B214" s="199"/>
      <c r="C214" s="199"/>
      <c r="D214" s="199"/>
      <c r="E214" s="199"/>
      <c r="F214" s="205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</row>
    <row r="215" customFormat="false" ht="15" hidden="false" customHeight="false" outlineLevel="0" collapsed="false">
      <c r="A215" s="199"/>
      <c r="B215" s="199"/>
      <c r="C215" s="199"/>
      <c r="D215" s="199"/>
      <c r="E215" s="199"/>
      <c r="F215" s="205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</row>
    <row r="216" customFormat="false" ht="15" hidden="false" customHeight="false" outlineLevel="0" collapsed="false">
      <c r="A216" s="199"/>
      <c r="B216" s="199"/>
      <c r="C216" s="199"/>
      <c r="D216" s="199"/>
      <c r="E216" s="199"/>
      <c r="F216" s="205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</row>
    <row r="217" customFormat="false" ht="15" hidden="false" customHeight="false" outlineLevel="0" collapsed="false">
      <c r="A217" s="199"/>
      <c r="B217" s="199"/>
      <c r="C217" s="199"/>
      <c r="D217" s="199"/>
      <c r="E217" s="199"/>
      <c r="F217" s="205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</row>
    <row r="218" customFormat="false" ht="15" hidden="false" customHeight="false" outlineLevel="0" collapsed="false">
      <c r="A218" s="199"/>
      <c r="B218" s="199"/>
      <c r="C218" s="199"/>
      <c r="D218" s="199"/>
      <c r="E218" s="199"/>
      <c r="F218" s="205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</row>
    <row r="219" customFormat="false" ht="15" hidden="false" customHeight="false" outlineLevel="0" collapsed="false">
      <c r="A219" s="199"/>
      <c r="B219" s="199"/>
      <c r="C219" s="199"/>
      <c r="D219" s="199"/>
      <c r="E219" s="199"/>
      <c r="F219" s="205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</row>
    <row r="220" customFormat="false" ht="15" hidden="false" customHeight="false" outlineLevel="0" collapsed="false">
      <c r="A220" s="199"/>
      <c r="B220" s="199"/>
      <c r="C220" s="199"/>
      <c r="D220" s="199"/>
      <c r="E220" s="199"/>
      <c r="F220" s="205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</row>
    <row r="221" customFormat="false" ht="15" hidden="false" customHeight="false" outlineLevel="0" collapsed="false">
      <c r="A221" s="199"/>
      <c r="B221" s="199"/>
      <c r="C221" s="199"/>
      <c r="D221" s="199"/>
      <c r="E221" s="199"/>
      <c r="F221" s="205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</row>
    <row r="222" customFormat="false" ht="15" hidden="false" customHeight="false" outlineLevel="0" collapsed="false">
      <c r="A222" s="199"/>
      <c r="B222" s="199"/>
      <c r="C222" s="199"/>
      <c r="D222" s="199"/>
      <c r="E222" s="199"/>
      <c r="F222" s="205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</row>
    <row r="223" customFormat="false" ht="15" hidden="false" customHeight="false" outlineLevel="0" collapsed="false">
      <c r="A223" s="199"/>
      <c r="B223" s="199"/>
      <c r="C223" s="199"/>
      <c r="D223" s="199"/>
      <c r="E223" s="199"/>
      <c r="F223" s="205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</row>
    <row r="224" customFormat="false" ht="15" hidden="false" customHeight="false" outlineLevel="0" collapsed="false">
      <c r="A224" s="199"/>
      <c r="B224" s="199"/>
      <c r="C224" s="199"/>
      <c r="D224" s="199"/>
      <c r="E224" s="199"/>
      <c r="F224" s="205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</row>
    <row r="225" customFormat="false" ht="15" hidden="false" customHeight="false" outlineLevel="0" collapsed="false">
      <c r="A225" s="199"/>
      <c r="B225" s="199"/>
      <c r="C225" s="199"/>
      <c r="D225" s="199"/>
      <c r="E225" s="199"/>
      <c r="F225" s="205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</row>
    <row r="226" customFormat="false" ht="15" hidden="false" customHeight="false" outlineLevel="0" collapsed="false">
      <c r="A226" s="199"/>
      <c r="B226" s="199"/>
      <c r="C226" s="199"/>
      <c r="D226" s="199"/>
      <c r="E226" s="199"/>
      <c r="F226" s="205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</row>
    <row r="227" customFormat="false" ht="15" hidden="false" customHeight="false" outlineLevel="0" collapsed="false">
      <c r="A227" s="199"/>
      <c r="B227" s="199"/>
      <c r="C227" s="199"/>
      <c r="D227" s="199"/>
      <c r="E227" s="199"/>
      <c r="F227" s="205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</row>
    <row r="228" customFormat="false" ht="15" hidden="false" customHeight="false" outlineLevel="0" collapsed="false">
      <c r="A228" s="199"/>
      <c r="B228" s="199"/>
      <c r="C228" s="199"/>
      <c r="D228" s="199"/>
      <c r="E228" s="199"/>
      <c r="F228" s="205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</row>
    <row r="229" customFormat="false" ht="15" hidden="false" customHeight="false" outlineLevel="0" collapsed="false">
      <c r="A229" s="199"/>
      <c r="B229" s="199"/>
      <c r="C229" s="199"/>
      <c r="D229" s="199"/>
      <c r="E229" s="199"/>
      <c r="F229" s="205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</row>
    <row r="230" customFormat="false" ht="15" hidden="false" customHeight="false" outlineLevel="0" collapsed="false">
      <c r="A230" s="199"/>
      <c r="B230" s="199"/>
      <c r="C230" s="199"/>
      <c r="D230" s="199"/>
      <c r="E230" s="199"/>
      <c r="F230" s="205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</row>
    <row r="231" customFormat="false" ht="15" hidden="false" customHeight="false" outlineLevel="0" collapsed="false">
      <c r="A231" s="199"/>
      <c r="B231" s="199"/>
      <c r="C231" s="199"/>
      <c r="D231" s="199"/>
      <c r="E231" s="199"/>
      <c r="F231" s="205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</row>
    <row r="232" customFormat="false" ht="15" hidden="false" customHeight="false" outlineLevel="0" collapsed="false">
      <c r="A232" s="199"/>
      <c r="B232" s="199"/>
      <c r="C232" s="199"/>
      <c r="D232" s="199"/>
      <c r="E232" s="199"/>
      <c r="F232" s="205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</row>
    <row r="233" customFormat="false" ht="15" hidden="false" customHeight="false" outlineLevel="0" collapsed="false">
      <c r="A233" s="199"/>
      <c r="B233" s="199"/>
      <c r="C233" s="199"/>
      <c r="D233" s="199"/>
      <c r="E233" s="199"/>
      <c r="F233" s="205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</row>
    <row r="234" customFormat="false" ht="15" hidden="false" customHeight="false" outlineLevel="0" collapsed="false">
      <c r="A234" s="199"/>
      <c r="B234" s="199"/>
      <c r="C234" s="199"/>
      <c r="D234" s="199"/>
      <c r="E234" s="199"/>
      <c r="F234" s="205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</row>
    <row r="235" customFormat="false" ht="15" hidden="false" customHeight="false" outlineLevel="0" collapsed="false">
      <c r="A235" s="199"/>
      <c r="B235" s="199"/>
      <c r="C235" s="199"/>
      <c r="D235" s="199"/>
      <c r="E235" s="199"/>
      <c r="F235" s="205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</row>
    <row r="236" customFormat="false" ht="15" hidden="false" customHeight="false" outlineLevel="0" collapsed="false">
      <c r="A236" s="199"/>
      <c r="B236" s="199"/>
      <c r="C236" s="199"/>
      <c r="D236" s="199"/>
      <c r="E236" s="199"/>
      <c r="F236" s="205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</row>
    <row r="237" customFormat="false" ht="15" hidden="false" customHeight="false" outlineLevel="0" collapsed="false">
      <c r="A237" s="199"/>
      <c r="B237" s="199"/>
      <c r="C237" s="199"/>
      <c r="D237" s="199"/>
      <c r="E237" s="199"/>
      <c r="F237" s="205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</row>
    <row r="238" customFormat="false" ht="15" hidden="false" customHeight="false" outlineLevel="0" collapsed="false">
      <c r="A238" s="199"/>
      <c r="B238" s="199"/>
      <c r="C238" s="199"/>
      <c r="D238" s="199"/>
      <c r="E238" s="199"/>
      <c r="F238" s="205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</row>
    <row r="239" customFormat="false" ht="15" hidden="false" customHeight="false" outlineLevel="0" collapsed="false">
      <c r="A239" s="199"/>
      <c r="B239" s="199"/>
      <c r="C239" s="199"/>
      <c r="D239" s="199"/>
      <c r="E239" s="199"/>
      <c r="F239" s="205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</row>
    <row r="240" customFormat="false" ht="15" hidden="false" customHeight="false" outlineLevel="0" collapsed="false">
      <c r="A240" s="199"/>
      <c r="B240" s="199"/>
      <c r="C240" s="199"/>
      <c r="D240" s="199"/>
      <c r="E240" s="199"/>
      <c r="F240" s="205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</row>
    <row r="241" customFormat="false" ht="15" hidden="false" customHeight="false" outlineLevel="0" collapsed="false">
      <c r="A241" s="199"/>
      <c r="B241" s="199"/>
      <c r="C241" s="199"/>
      <c r="D241" s="199"/>
      <c r="E241" s="199"/>
      <c r="F241" s="205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</row>
    <row r="242" customFormat="false" ht="15" hidden="false" customHeight="false" outlineLevel="0" collapsed="false">
      <c r="A242" s="199"/>
      <c r="B242" s="199"/>
      <c r="C242" s="199"/>
      <c r="D242" s="199"/>
      <c r="E242" s="199"/>
      <c r="F242" s="205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</row>
    <row r="243" customFormat="false" ht="15" hidden="false" customHeight="false" outlineLevel="0" collapsed="false">
      <c r="A243" s="199"/>
      <c r="B243" s="199"/>
      <c r="C243" s="199"/>
      <c r="D243" s="199"/>
      <c r="E243" s="199"/>
      <c r="F243" s="205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</row>
    <row r="244" customFormat="false" ht="15" hidden="false" customHeight="false" outlineLevel="0" collapsed="false">
      <c r="A244" s="199"/>
      <c r="B244" s="199"/>
      <c r="C244" s="199"/>
      <c r="D244" s="199"/>
      <c r="E244" s="199"/>
      <c r="F244" s="205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</row>
    <row r="245" customFormat="false" ht="15" hidden="false" customHeight="false" outlineLevel="0" collapsed="false">
      <c r="A245" s="199"/>
      <c r="B245" s="199"/>
      <c r="C245" s="199"/>
      <c r="D245" s="199"/>
      <c r="E245" s="199"/>
      <c r="F245" s="205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</row>
    <row r="246" customFormat="false" ht="15" hidden="false" customHeight="false" outlineLevel="0" collapsed="false">
      <c r="A246" s="199"/>
      <c r="B246" s="199"/>
      <c r="C246" s="199"/>
      <c r="D246" s="199"/>
      <c r="E246" s="199"/>
      <c r="F246" s="205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</row>
    <row r="247" customFormat="false" ht="15" hidden="false" customHeight="false" outlineLevel="0" collapsed="false">
      <c r="A247" s="199"/>
      <c r="B247" s="199"/>
      <c r="C247" s="199"/>
      <c r="D247" s="199"/>
      <c r="E247" s="199"/>
      <c r="F247" s="205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</row>
    <row r="248" customFormat="false" ht="15" hidden="false" customHeight="false" outlineLevel="0" collapsed="false">
      <c r="A248" s="199"/>
      <c r="B248" s="199"/>
      <c r="C248" s="199"/>
      <c r="D248" s="199"/>
      <c r="E248" s="199"/>
      <c r="F248" s="205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</row>
    <row r="249" customFormat="false" ht="15" hidden="false" customHeight="false" outlineLevel="0" collapsed="false">
      <c r="A249" s="199"/>
      <c r="B249" s="199"/>
      <c r="C249" s="199"/>
      <c r="D249" s="199"/>
      <c r="E249" s="199"/>
      <c r="F249" s="205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</row>
    <row r="250" customFormat="false" ht="15" hidden="false" customHeight="false" outlineLevel="0" collapsed="false">
      <c r="A250" s="199"/>
      <c r="B250" s="199"/>
      <c r="C250" s="199"/>
      <c r="D250" s="199"/>
      <c r="E250" s="199"/>
      <c r="F250" s="205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</row>
    <row r="251" customFormat="false" ht="15" hidden="false" customHeight="false" outlineLevel="0" collapsed="false">
      <c r="A251" s="199"/>
      <c r="B251" s="199"/>
      <c r="C251" s="199"/>
      <c r="D251" s="199"/>
      <c r="E251" s="199"/>
      <c r="F251" s="205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</row>
    <row r="252" customFormat="false" ht="15" hidden="false" customHeight="false" outlineLevel="0" collapsed="false">
      <c r="A252" s="199"/>
      <c r="B252" s="199"/>
      <c r="C252" s="199"/>
      <c r="D252" s="199"/>
      <c r="E252" s="199"/>
      <c r="F252" s="205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</row>
    <row r="253" customFormat="false" ht="15" hidden="false" customHeight="false" outlineLevel="0" collapsed="false">
      <c r="A253" s="199"/>
      <c r="B253" s="199"/>
      <c r="C253" s="199"/>
      <c r="D253" s="199"/>
      <c r="E253" s="199"/>
      <c r="F253" s="205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</row>
    <row r="254" customFormat="false" ht="15" hidden="false" customHeight="false" outlineLevel="0" collapsed="false">
      <c r="A254" s="199"/>
      <c r="B254" s="199"/>
      <c r="C254" s="199"/>
      <c r="D254" s="199"/>
      <c r="E254" s="199"/>
      <c r="F254" s="205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</row>
    <row r="255" customFormat="false" ht="15" hidden="false" customHeight="false" outlineLevel="0" collapsed="false">
      <c r="A255" s="199"/>
      <c r="B255" s="199"/>
      <c r="C255" s="199"/>
      <c r="D255" s="199"/>
      <c r="E255" s="199"/>
      <c r="F255" s="205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</row>
    <row r="256" customFormat="false" ht="15" hidden="false" customHeight="false" outlineLevel="0" collapsed="false">
      <c r="A256" s="199"/>
      <c r="B256" s="199"/>
      <c r="C256" s="199"/>
      <c r="D256" s="199"/>
      <c r="E256" s="199"/>
      <c r="F256" s="205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</row>
    <row r="257" customFormat="false" ht="15" hidden="false" customHeight="false" outlineLevel="0" collapsed="false">
      <c r="A257" s="199"/>
      <c r="B257" s="199"/>
      <c r="C257" s="199"/>
      <c r="D257" s="199"/>
      <c r="E257" s="199"/>
      <c r="F257" s="205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</row>
    <row r="258" customFormat="false" ht="15" hidden="false" customHeight="false" outlineLevel="0" collapsed="false">
      <c r="A258" s="199"/>
      <c r="B258" s="199"/>
      <c r="C258" s="199"/>
      <c r="D258" s="199"/>
      <c r="E258" s="199"/>
      <c r="F258" s="205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</row>
    <row r="259" customFormat="false" ht="15" hidden="false" customHeight="false" outlineLevel="0" collapsed="false">
      <c r="A259" s="199"/>
      <c r="B259" s="199"/>
      <c r="C259" s="199"/>
      <c r="D259" s="199"/>
      <c r="E259" s="199"/>
      <c r="F259" s="205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</row>
    <row r="260" customFormat="false" ht="15" hidden="false" customHeight="false" outlineLevel="0" collapsed="false">
      <c r="A260" s="199"/>
      <c r="B260" s="199"/>
      <c r="C260" s="199"/>
      <c r="D260" s="199"/>
      <c r="E260" s="199"/>
      <c r="F260" s="205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</row>
    <row r="261" customFormat="false" ht="15" hidden="false" customHeight="false" outlineLevel="0" collapsed="false">
      <c r="A261" s="199"/>
      <c r="B261" s="199"/>
      <c r="C261" s="199"/>
      <c r="D261" s="199"/>
      <c r="E261" s="199"/>
      <c r="F261" s="205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</row>
    <row r="262" customFormat="false" ht="15" hidden="false" customHeight="false" outlineLevel="0" collapsed="false">
      <c r="A262" s="199"/>
      <c r="B262" s="199"/>
      <c r="C262" s="199"/>
      <c r="D262" s="199"/>
      <c r="E262" s="199"/>
      <c r="F262" s="205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</row>
    <row r="263" customFormat="false" ht="15" hidden="false" customHeight="false" outlineLevel="0" collapsed="false">
      <c r="A263" s="199"/>
      <c r="B263" s="199"/>
      <c r="C263" s="199"/>
      <c r="D263" s="199"/>
      <c r="E263" s="199"/>
      <c r="F263" s="205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</row>
    <row r="264" customFormat="false" ht="15" hidden="false" customHeight="false" outlineLevel="0" collapsed="false">
      <c r="A264" s="199"/>
      <c r="B264" s="199"/>
      <c r="C264" s="199"/>
      <c r="D264" s="199"/>
      <c r="E264" s="199"/>
      <c r="F264" s="205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</row>
    <row r="265" customFormat="false" ht="15" hidden="false" customHeight="false" outlineLevel="0" collapsed="false">
      <c r="A265" s="199"/>
      <c r="B265" s="199"/>
      <c r="C265" s="199"/>
      <c r="D265" s="199"/>
      <c r="E265" s="199"/>
      <c r="F265" s="205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</row>
    <row r="266" customFormat="false" ht="15" hidden="false" customHeight="false" outlineLevel="0" collapsed="false">
      <c r="A266" s="199"/>
      <c r="B266" s="199"/>
      <c r="C266" s="199"/>
      <c r="D266" s="199"/>
      <c r="E266" s="199"/>
      <c r="F266" s="205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</row>
    <row r="267" customFormat="false" ht="15" hidden="false" customHeight="false" outlineLevel="0" collapsed="false">
      <c r="A267" s="199"/>
      <c r="B267" s="199"/>
      <c r="C267" s="199"/>
      <c r="D267" s="199"/>
      <c r="E267" s="199"/>
      <c r="F267" s="205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</row>
    <row r="268" customFormat="false" ht="15" hidden="false" customHeight="false" outlineLevel="0" collapsed="false">
      <c r="A268" s="199"/>
      <c r="B268" s="199"/>
      <c r="C268" s="199"/>
      <c r="D268" s="199"/>
      <c r="E268" s="199"/>
      <c r="F268" s="205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</row>
    <row r="269" customFormat="false" ht="15" hidden="false" customHeight="false" outlineLevel="0" collapsed="false">
      <c r="A269" s="199"/>
      <c r="B269" s="199"/>
      <c r="C269" s="199"/>
      <c r="D269" s="199"/>
      <c r="E269" s="199"/>
      <c r="F269" s="205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</row>
    <row r="270" customFormat="false" ht="15" hidden="false" customHeight="false" outlineLevel="0" collapsed="false">
      <c r="A270" s="199"/>
      <c r="B270" s="199"/>
      <c r="C270" s="199"/>
      <c r="D270" s="199"/>
      <c r="E270" s="199"/>
      <c r="F270" s="205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</row>
    <row r="271" customFormat="false" ht="15" hidden="false" customHeight="false" outlineLevel="0" collapsed="false">
      <c r="A271" s="199"/>
      <c r="B271" s="199"/>
      <c r="C271" s="199"/>
      <c r="D271" s="199"/>
      <c r="E271" s="199"/>
      <c r="F271" s="205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</row>
    <row r="272" customFormat="false" ht="15" hidden="false" customHeight="false" outlineLevel="0" collapsed="false">
      <c r="A272" s="199"/>
      <c r="B272" s="199"/>
      <c r="C272" s="199"/>
      <c r="D272" s="199"/>
      <c r="E272" s="199"/>
      <c r="F272" s="205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</row>
    <row r="273" customFormat="false" ht="15" hidden="false" customHeight="false" outlineLevel="0" collapsed="false">
      <c r="A273" s="199"/>
      <c r="B273" s="199"/>
      <c r="C273" s="199"/>
      <c r="D273" s="199"/>
      <c r="E273" s="199"/>
      <c r="F273" s="205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</row>
    <row r="274" customFormat="false" ht="15" hidden="false" customHeight="false" outlineLevel="0" collapsed="false">
      <c r="A274" s="199"/>
      <c r="B274" s="199"/>
      <c r="C274" s="199"/>
      <c r="D274" s="199"/>
      <c r="E274" s="199"/>
      <c r="F274" s="205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</row>
    <row r="275" customFormat="false" ht="15" hidden="false" customHeight="false" outlineLevel="0" collapsed="false">
      <c r="A275" s="199"/>
      <c r="B275" s="199"/>
      <c r="C275" s="199"/>
      <c r="D275" s="199"/>
      <c r="E275" s="199"/>
      <c r="F275" s="205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</row>
    <row r="276" customFormat="false" ht="15" hidden="false" customHeight="false" outlineLevel="0" collapsed="false">
      <c r="A276" s="199"/>
      <c r="B276" s="199"/>
      <c r="C276" s="199"/>
      <c r="D276" s="199"/>
      <c r="E276" s="199"/>
      <c r="F276" s="205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</row>
    <row r="277" customFormat="false" ht="15" hidden="false" customHeight="false" outlineLevel="0" collapsed="false">
      <c r="A277" s="199"/>
      <c r="B277" s="199"/>
      <c r="C277" s="199"/>
      <c r="D277" s="199"/>
      <c r="E277" s="199"/>
      <c r="F277" s="205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</row>
    <row r="278" customFormat="false" ht="15" hidden="false" customHeight="false" outlineLevel="0" collapsed="false">
      <c r="A278" s="199"/>
      <c r="B278" s="199"/>
      <c r="C278" s="199"/>
      <c r="D278" s="199"/>
      <c r="E278" s="199"/>
      <c r="F278" s="205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</row>
    <row r="279" customFormat="false" ht="15" hidden="false" customHeight="false" outlineLevel="0" collapsed="false">
      <c r="A279" s="199"/>
      <c r="B279" s="199"/>
      <c r="C279" s="199"/>
      <c r="D279" s="199"/>
      <c r="E279" s="199"/>
      <c r="F279" s="205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</row>
    <row r="280" customFormat="false" ht="15" hidden="false" customHeight="false" outlineLevel="0" collapsed="false">
      <c r="A280" s="199"/>
      <c r="B280" s="199"/>
      <c r="C280" s="199"/>
      <c r="D280" s="199"/>
      <c r="E280" s="199"/>
      <c r="F280" s="205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</row>
    <row r="281" customFormat="false" ht="15" hidden="false" customHeight="false" outlineLevel="0" collapsed="false">
      <c r="A281" s="199"/>
      <c r="B281" s="199"/>
      <c r="C281" s="199"/>
      <c r="D281" s="199"/>
      <c r="E281" s="199"/>
      <c r="F281" s="205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</row>
    <row r="282" customFormat="false" ht="15" hidden="false" customHeight="false" outlineLevel="0" collapsed="false">
      <c r="A282" s="199"/>
      <c r="B282" s="199"/>
      <c r="C282" s="199"/>
      <c r="D282" s="199"/>
      <c r="E282" s="199"/>
      <c r="F282" s="205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</row>
    <row r="283" customFormat="false" ht="15" hidden="false" customHeight="false" outlineLevel="0" collapsed="false">
      <c r="A283" s="199"/>
      <c r="B283" s="199"/>
      <c r="C283" s="199"/>
      <c r="D283" s="199"/>
      <c r="E283" s="199"/>
      <c r="F283" s="205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</row>
    <row r="284" customFormat="false" ht="15" hidden="false" customHeight="false" outlineLevel="0" collapsed="false">
      <c r="A284" s="199"/>
      <c r="B284" s="199"/>
      <c r="C284" s="199"/>
      <c r="D284" s="199"/>
      <c r="E284" s="199"/>
      <c r="F284" s="205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</row>
    <row r="285" customFormat="false" ht="15" hidden="false" customHeight="false" outlineLevel="0" collapsed="false">
      <c r="A285" s="199"/>
      <c r="B285" s="199"/>
      <c r="C285" s="199"/>
      <c r="D285" s="199"/>
      <c r="E285" s="199"/>
      <c r="F285" s="205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</row>
    <row r="286" customFormat="false" ht="15" hidden="false" customHeight="false" outlineLevel="0" collapsed="false">
      <c r="A286" s="199"/>
      <c r="B286" s="199"/>
      <c r="C286" s="199"/>
      <c r="D286" s="199"/>
      <c r="E286" s="199"/>
      <c r="F286" s="205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</row>
    <row r="287" customFormat="false" ht="15" hidden="false" customHeight="false" outlineLevel="0" collapsed="false">
      <c r="A287" s="199"/>
      <c r="B287" s="199"/>
      <c r="C287" s="199"/>
      <c r="D287" s="199"/>
      <c r="E287" s="199"/>
      <c r="F287" s="205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</row>
    <row r="288" customFormat="false" ht="15" hidden="false" customHeight="false" outlineLevel="0" collapsed="false">
      <c r="A288" s="199"/>
      <c r="B288" s="199"/>
      <c r="C288" s="199"/>
      <c r="D288" s="199"/>
      <c r="E288" s="199"/>
      <c r="F288" s="205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</row>
    <row r="289" customFormat="false" ht="15" hidden="false" customHeight="false" outlineLevel="0" collapsed="false">
      <c r="A289" s="199"/>
      <c r="B289" s="199"/>
      <c r="C289" s="199"/>
      <c r="D289" s="199"/>
      <c r="E289" s="199"/>
      <c r="F289" s="205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</row>
    <row r="290" customFormat="false" ht="15" hidden="false" customHeight="false" outlineLevel="0" collapsed="false">
      <c r="A290" s="199"/>
      <c r="B290" s="199"/>
      <c r="C290" s="199"/>
      <c r="D290" s="199"/>
      <c r="E290" s="199"/>
      <c r="F290" s="205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</row>
    <row r="291" customFormat="false" ht="15" hidden="false" customHeight="false" outlineLevel="0" collapsed="false">
      <c r="A291" s="199"/>
      <c r="B291" s="199"/>
      <c r="C291" s="199"/>
      <c r="D291" s="199"/>
      <c r="E291" s="199"/>
      <c r="F291" s="205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</row>
    <row r="292" customFormat="false" ht="15" hidden="false" customHeight="false" outlineLevel="0" collapsed="false">
      <c r="A292" s="199"/>
      <c r="B292" s="199"/>
      <c r="C292" s="199"/>
      <c r="D292" s="199"/>
      <c r="E292" s="199"/>
      <c r="F292" s="205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</row>
    <row r="293" customFormat="false" ht="15" hidden="false" customHeight="false" outlineLevel="0" collapsed="false">
      <c r="A293" s="199"/>
      <c r="B293" s="199"/>
      <c r="C293" s="199"/>
      <c r="D293" s="199"/>
      <c r="E293" s="199"/>
      <c r="F293" s="205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</row>
    <row r="294" customFormat="false" ht="15" hidden="false" customHeight="false" outlineLevel="0" collapsed="false">
      <c r="A294" s="199"/>
      <c r="B294" s="199"/>
      <c r="C294" s="199"/>
      <c r="D294" s="199"/>
      <c r="E294" s="199"/>
      <c r="F294" s="205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</row>
    <row r="295" customFormat="false" ht="15" hidden="false" customHeight="false" outlineLevel="0" collapsed="false">
      <c r="A295" s="199"/>
      <c r="B295" s="199"/>
      <c r="C295" s="199"/>
      <c r="D295" s="199"/>
      <c r="E295" s="199"/>
      <c r="F295" s="205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</row>
    <row r="296" customFormat="false" ht="15" hidden="false" customHeight="false" outlineLevel="0" collapsed="false">
      <c r="A296" s="199"/>
      <c r="B296" s="199"/>
      <c r="C296" s="199"/>
      <c r="D296" s="199"/>
      <c r="E296" s="199"/>
      <c r="F296" s="205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</row>
    <row r="297" customFormat="false" ht="15" hidden="false" customHeight="false" outlineLevel="0" collapsed="false">
      <c r="A297" s="199"/>
      <c r="B297" s="199"/>
      <c r="C297" s="199"/>
      <c r="D297" s="199"/>
      <c r="E297" s="199"/>
      <c r="F297" s="205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</row>
    <row r="298" customFormat="false" ht="15" hidden="false" customHeight="false" outlineLevel="0" collapsed="false">
      <c r="A298" s="199"/>
      <c r="B298" s="199"/>
      <c r="C298" s="199"/>
      <c r="D298" s="199"/>
      <c r="E298" s="199"/>
      <c r="F298" s="205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</row>
    <row r="299" customFormat="false" ht="15" hidden="false" customHeight="false" outlineLevel="0" collapsed="false">
      <c r="A299" s="199"/>
      <c r="B299" s="199"/>
      <c r="C299" s="199"/>
      <c r="D299" s="199"/>
      <c r="E299" s="199"/>
      <c r="F299" s="205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</row>
    <row r="300" customFormat="false" ht="15" hidden="false" customHeight="false" outlineLevel="0" collapsed="false">
      <c r="A300" s="199"/>
      <c r="B300" s="199"/>
      <c r="C300" s="199"/>
      <c r="D300" s="199"/>
      <c r="E300" s="199"/>
      <c r="F300" s="205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</row>
    <row r="301" customFormat="false" ht="15" hidden="false" customHeight="false" outlineLevel="0" collapsed="false">
      <c r="A301" s="199"/>
      <c r="B301" s="199"/>
      <c r="C301" s="199"/>
      <c r="D301" s="199"/>
      <c r="E301" s="199"/>
      <c r="F301" s="205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</row>
    <row r="302" customFormat="false" ht="15" hidden="false" customHeight="false" outlineLevel="0" collapsed="false">
      <c r="A302" s="199"/>
      <c r="B302" s="199"/>
      <c r="C302" s="199"/>
      <c r="D302" s="199"/>
      <c r="E302" s="199"/>
      <c r="F302" s="205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</row>
    <row r="303" customFormat="false" ht="15" hidden="false" customHeight="false" outlineLevel="0" collapsed="false">
      <c r="A303" s="199"/>
      <c r="B303" s="199"/>
      <c r="C303" s="199"/>
      <c r="D303" s="199"/>
      <c r="E303" s="199"/>
      <c r="F303" s="205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</row>
    <row r="304" customFormat="false" ht="15" hidden="false" customHeight="false" outlineLevel="0" collapsed="false">
      <c r="A304" s="199"/>
      <c r="B304" s="199"/>
      <c r="C304" s="199"/>
      <c r="D304" s="199"/>
      <c r="E304" s="199"/>
      <c r="F304" s="205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</row>
    <row r="305" customFormat="false" ht="15" hidden="false" customHeight="false" outlineLevel="0" collapsed="false">
      <c r="A305" s="199"/>
      <c r="B305" s="199"/>
      <c r="C305" s="199"/>
      <c r="D305" s="199"/>
      <c r="E305" s="199"/>
      <c r="F305" s="205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</row>
    <row r="306" customFormat="false" ht="15" hidden="false" customHeight="false" outlineLevel="0" collapsed="false">
      <c r="A306" s="199"/>
      <c r="B306" s="199"/>
      <c r="C306" s="199"/>
      <c r="D306" s="199"/>
      <c r="E306" s="199"/>
      <c r="F306" s="205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</row>
    <row r="307" customFormat="false" ht="15" hidden="false" customHeight="false" outlineLevel="0" collapsed="false">
      <c r="A307" s="199"/>
      <c r="B307" s="199"/>
      <c r="C307" s="199"/>
      <c r="D307" s="199"/>
      <c r="E307" s="199"/>
      <c r="F307" s="205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</row>
    <row r="308" customFormat="false" ht="15" hidden="false" customHeight="false" outlineLevel="0" collapsed="false">
      <c r="A308" s="199"/>
      <c r="B308" s="199"/>
      <c r="C308" s="199"/>
      <c r="D308" s="199"/>
      <c r="E308" s="199"/>
      <c r="F308" s="205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</row>
    <row r="309" customFormat="false" ht="15" hidden="false" customHeight="false" outlineLevel="0" collapsed="false">
      <c r="A309" s="199"/>
      <c r="B309" s="199"/>
      <c r="C309" s="199"/>
      <c r="D309" s="199"/>
      <c r="E309" s="199"/>
      <c r="F309" s="205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</row>
    <row r="310" customFormat="false" ht="15" hidden="false" customHeight="false" outlineLevel="0" collapsed="false">
      <c r="A310" s="199"/>
      <c r="B310" s="199"/>
      <c r="C310" s="199"/>
      <c r="D310" s="199"/>
      <c r="E310" s="199"/>
      <c r="F310" s="205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</row>
    <row r="311" customFormat="false" ht="15" hidden="false" customHeight="false" outlineLevel="0" collapsed="false">
      <c r="A311" s="199"/>
      <c r="B311" s="199"/>
      <c r="C311" s="199"/>
      <c r="D311" s="199"/>
      <c r="E311" s="199"/>
      <c r="F311" s="205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</row>
    <row r="312" customFormat="false" ht="15" hidden="false" customHeight="false" outlineLevel="0" collapsed="false">
      <c r="A312" s="199"/>
      <c r="B312" s="199"/>
      <c r="C312" s="199"/>
      <c r="D312" s="199"/>
      <c r="E312" s="199"/>
      <c r="F312" s="205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</row>
    <row r="313" customFormat="false" ht="15" hidden="false" customHeight="false" outlineLevel="0" collapsed="false">
      <c r="A313" s="199"/>
      <c r="B313" s="199"/>
      <c r="C313" s="199"/>
      <c r="D313" s="199"/>
      <c r="E313" s="199"/>
      <c r="F313" s="205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</row>
    <row r="314" customFormat="false" ht="15" hidden="false" customHeight="false" outlineLevel="0" collapsed="false">
      <c r="A314" s="199"/>
      <c r="B314" s="199"/>
      <c r="C314" s="199"/>
      <c r="D314" s="199"/>
      <c r="E314" s="199"/>
      <c r="F314" s="205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</row>
    <row r="315" customFormat="false" ht="15" hidden="false" customHeight="false" outlineLevel="0" collapsed="false">
      <c r="A315" s="199"/>
      <c r="B315" s="199"/>
      <c r="C315" s="199"/>
      <c r="D315" s="199"/>
      <c r="E315" s="199"/>
      <c r="F315" s="205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</row>
    <row r="316" customFormat="false" ht="15" hidden="false" customHeight="false" outlineLevel="0" collapsed="false">
      <c r="A316" s="199"/>
      <c r="B316" s="199"/>
      <c r="C316" s="199"/>
      <c r="D316" s="199"/>
      <c r="E316" s="199"/>
      <c r="F316" s="205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</row>
    <row r="317" customFormat="false" ht="15" hidden="false" customHeight="false" outlineLevel="0" collapsed="false">
      <c r="A317" s="199"/>
      <c r="B317" s="199"/>
      <c r="C317" s="199"/>
      <c r="D317" s="199"/>
      <c r="E317" s="199"/>
      <c r="F317" s="205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</row>
    <row r="318" customFormat="false" ht="15" hidden="false" customHeight="false" outlineLevel="0" collapsed="false">
      <c r="A318" s="199"/>
      <c r="B318" s="199"/>
      <c r="C318" s="199"/>
      <c r="D318" s="199"/>
      <c r="E318" s="199"/>
      <c r="F318" s="205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</row>
    <row r="319" customFormat="false" ht="15" hidden="false" customHeight="false" outlineLevel="0" collapsed="false">
      <c r="A319" s="199"/>
      <c r="B319" s="199"/>
      <c r="C319" s="199"/>
      <c r="D319" s="199"/>
      <c r="E319" s="199"/>
      <c r="F319" s="205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</row>
    <row r="320" customFormat="false" ht="15" hidden="false" customHeight="false" outlineLevel="0" collapsed="false">
      <c r="A320" s="199"/>
      <c r="B320" s="199"/>
      <c r="C320" s="199"/>
      <c r="D320" s="199"/>
      <c r="E320" s="199"/>
      <c r="F320" s="205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</row>
    <row r="321" customFormat="false" ht="15" hidden="false" customHeight="false" outlineLevel="0" collapsed="false">
      <c r="A321" s="199"/>
      <c r="B321" s="199"/>
      <c r="C321" s="199"/>
      <c r="D321" s="199"/>
      <c r="E321" s="199"/>
      <c r="F321" s="205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</row>
    <row r="322" customFormat="false" ht="15" hidden="false" customHeight="false" outlineLevel="0" collapsed="false">
      <c r="A322" s="199"/>
      <c r="B322" s="199"/>
      <c r="C322" s="199"/>
      <c r="D322" s="199"/>
      <c r="E322" s="199"/>
      <c r="F322" s="205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</row>
    <row r="323" customFormat="false" ht="15" hidden="false" customHeight="false" outlineLevel="0" collapsed="false">
      <c r="A323" s="199"/>
      <c r="B323" s="199"/>
      <c r="C323" s="199"/>
      <c r="D323" s="199"/>
      <c r="E323" s="199"/>
      <c r="F323" s="205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</row>
    <row r="324" customFormat="false" ht="15" hidden="false" customHeight="false" outlineLevel="0" collapsed="false">
      <c r="A324" s="199"/>
      <c r="B324" s="199"/>
      <c r="C324" s="199"/>
      <c r="D324" s="199"/>
      <c r="E324" s="199"/>
      <c r="F324" s="205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</row>
    <row r="325" customFormat="false" ht="15" hidden="false" customHeight="false" outlineLevel="0" collapsed="false">
      <c r="A325" s="199"/>
      <c r="B325" s="199"/>
      <c r="C325" s="199"/>
      <c r="D325" s="199"/>
      <c r="E325" s="199"/>
      <c r="F325" s="205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</row>
    <row r="326" customFormat="false" ht="15" hidden="false" customHeight="false" outlineLevel="0" collapsed="false">
      <c r="A326" s="199"/>
      <c r="B326" s="199"/>
      <c r="C326" s="199"/>
      <c r="D326" s="199"/>
      <c r="E326" s="199"/>
      <c r="F326" s="205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</row>
    <row r="327" customFormat="false" ht="15" hidden="false" customHeight="false" outlineLevel="0" collapsed="false">
      <c r="A327" s="199"/>
      <c r="B327" s="199"/>
      <c r="C327" s="199"/>
      <c r="D327" s="199"/>
      <c r="E327" s="199"/>
      <c r="F327" s="205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</row>
    <row r="328" customFormat="false" ht="15" hidden="false" customHeight="false" outlineLevel="0" collapsed="false">
      <c r="A328" s="199"/>
      <c r="B328" s="199"/>
      <c r="C328" s="199"/>
      <c r="D328" s="199"/>
      <c r="E328" s="199"/>
      <c r="F328" s="205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</row>
    <row r="329" customFormat="false" ht="15" hidden="false" customHeight="false" outlineLevel="0" collapsed="false">
      <c r="A329" s="199"/>
      <c r="B329" s="199"/>
      <c r="C329" s="199"/>
      <c r="D329" s="199"/>
      <c r="E329" s="199"/>
      <c r="F329" s="205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</row>
    <row r="330" customFormat="false" ht="15" hidden="false" customHeight="false" outlineLevel="0" collapsed="false">
      <c r="A330" s="199"/>
      <c r="B330" s="199"/>
      <c r="C330" s="199"/>
      <c r="D330" s="199"/>
      <c r="E330" s="199"/>
      <c r="F330" s="205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</row>
    <row r="331" customFormat="false" ht="15" hidden="false" customHeight="false" outlineLevel="0" collapsed="false">
      <c r="A331" s="199"/>
      <c r="B331" s="199"/>
      <c r="C331" s="199"/>
      <c r="D331" s="199"/>
      <c r="E331" s="199"/>
      <c r="F331" s="205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</row>
    <row r="332" customFormat="false" ht="15" hidden="false" customHeight="false" outlineLevel="0" collapsed="false">
      <c r="A332" s="199"/>
      <c r="B332" s="199"/>
      <c r="C332" s="199"/>
      <c r="D332" s="199"/>
      <c r="E332" s="199"/>
      <c r="F332" s="205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</row>
    <row r="333" customFormat="false" ht="15" hidden="false" customHeight="false" outlineLevel="0" collapsed="false">
      <c r="A333" s="199"/>
      <c r="B333" s="199"/>
      <c r="C333" s="199"/>
      <c r="D333" s="199"/>
      <c r="E333" s="199"/>
      <c r="F333" s="205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</row>
    <row r="334" customFormat="false" ht="15" hidden="false" customHeight="false" outlineLevel="0" collapsed="false">
      <c r="A334" s="199"/>
      <c r="B334" s="199"/>
      <c r="C334" s="199"/>
      <c r="D334" s="199"/>
      <c r="E334" s="199"/>
      <c r="F334" s="205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</row>
    <row r="335" customFormat="false" ht="15" hidden="false" customHeight="false" outlineLevel="0" collapsed="false">
      <c r="A335" s="199"/>
      <c r="B335" s="199"/>
      <c r="C335" s="199"/>
      <c r="D335" s="199"/>
      <c r="E335" s="199"/>
      <c r="F335" s="205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</row>
    <row r="336" customFormat="false" ht="15" hidden="false" customHeight="false" outlineLevel="0" collapsed="false">
      <c r="A336" s="199"/>
      <c r="B336" s="199"/>
      <c r="C336" s="199"/>
      <c r="D336" s="199"/>
      <c r="E336" s="199"/>
      <c r="F336" s="205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</row>
    <row r="337" customFormat="false" ht="15" hidden="false" customHeight="false" outlineLevel="0" collapsed="false">
      <c r="A337" s="199"/>
      <c r="B337" s="199"/>
      <c r="C337" s="199"/>
      <c r="D337" s="199"/>
      <c r="E337" s="199"/>
      <c r="F337" s="205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</row>
    <row r="338" customFormat="false" ht="15" hidden="false" customHeight="false" outlineLevel="0" collapsed="false">
      <c r="A338" s="199"/>
      <c r="B338" s="199"/>
      <c r="C338" s="199"/>
      <c r="D338" s="199"/>
      <c r="E338" s="199"/>
      <c r="F338" s="205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</row>
    <row r="339" customFormat="false" ht="15" hidden="false" customHeight="false" outlineLevel="0" collapsed="false">
      <c r="A339" s="199"/>
      <c r="B339" s="199"/>
      <c r="C339" s="199"/>
      <c r="D339" s="199"/>
      <c r="E339" s="199"/>
      <c r="F339" s="205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</row>
    <row r="340" customFormat="false" ht="15" hidden="false" customHeight="false" outlineLevel="0" collapsed="false">
      <c r="A340" s="199"/>
      <c r="B340" s="199"/>
      <c r="C340" s="199"/>
      <c r="D340" s="199"/>
      <c r="E340" s="199"/>
      <c r="F340" s="205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</row>
    <row r="341" customFormat="false" ht="15" hidden="false" customHeight="false" outlineLevel="0" collapsed="false">
      <c r="A341" s="199"/>
      <c r="B341" s="199"/>
      <c r="C341" s="199"/>
      <c r="D341" s="199"/>
      <c r="E341" s="199"/>
      <c r="F341" s="205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</row>
    <row r="342" customFormat="false" ht="15" hidden="false" customHeight="false" outlineLevel="0" collapsed="false">
      <c r="A342" s="199"/>
      <c r="B342" s="199"/>
      <c r="C342" s="199"/>
      <c r="D342" s="199"/>
      <c r="E342" s="199"/>
      <c r="F342" s="205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</row>
    <row r="343" customFormat="false" ht="15" hidden="false" customHeight="false" outlineLevel="0" collapsed="false">
      <c r="A343" s="199"/>
      <c r="B343" s="199"/>
      <c r="C343" s="199"/>
      <c r="D343" s="199"/>
      <c r="E343" s="199"/>
      <c r="F343" s="205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</row>
    <row r="344" customFormat="false" ht="15" hidden="false" customHeight="false" outlineLevel="0" collapsed="false">
      <c r="A344" s="199"/>
      <c r="B344" s="199"/>
      <c r="C344" s="199"/>
      <c r="D344" s="199"/>
      <c r="E344" s="199"/>
      <c r="F344" s="205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</row>
    <row r="345" customFormat="false" ht="15" hidden="false" customHeight="false" outlineLevel="0" collapsed="false">
      <c r="A345" s="199"/>
      <c r="B345" s="199"/>
      <c r="C345" s="199"/>
      <c r="D345" s="199"/>
      <c r="E345" s="199"/>
      <c r="F345" s="205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</row>
    <row r="346" customFormat="false" ht="15" hidden="false" customHeight="false" outlineLevel="0" collapsed="false">
      <c r="A346" s="199"/>
      <c r="B346" s="199"/>
      <c r="C346" s="199"/>
      <c r="D346" s="199"/>
      <c r="E346" s="199"/>
      <c r="F346" s="205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</row>
    <row r="347" customFormat="false" ht="15" hidden="false" customHeight="false" outlineLevel="0" collapsed="false">
      <c r="A347" s="199"/>
      <c r="B347" s="199"/>
      <c r="C347" s="199"/>
      <c r="D347" s="199"/>
      <c r="E347" s="199"/>
      <c r="F347" s="205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</row>
    <row r="348" customFormat="false" ht="15" hidden="false" customHeight="false" outlineLevel="0" collapsed="false">
      <c r="A348" s="199"/>
      <c r="B348" s="199"/>
      <c r="C348" s="199"/>
      <c r="D348" s="199"/>
      <c r="E348" s="199"/>
      <c r="F348" s="205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</row>
    <row r="349" customFormat="false" ht="15" hidden="false" customHeight="false" outlineLevel="0" collapsed="false">
      <c r="A349" s="199"/>
      <c r="B349" s="199"/>
      <c r="C349" s="199"/>
      <c r="D349" s="199"/>
      <c r="E349" s="199"/>
      <c r="F349" s="205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</row>
    <row r="350" customFormat="false" ht="15" hidden="false" customHeight="false" outlineLevel="0" collapsed="false">
      <c r="A350" s="199"/>
      <c r="B350" s="199"/>
      <c r="C350" s="199"/>
      <c r="D350" s="199"/>
      <c r="E350" s="199"/>
      <c r="F350" s="205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</row>
    <row r="351" customFormat="false" ht="15" hidden="false" customHeight="false" outlineLevel="0" collapsed="false">
      <c r="A351" s="199"/>
      <c r="B351" s="199"/>
      <c r="C351" s="199"/>
      <c r="D351" s="199"/>
      <c r="E351" s="199"/>
      <c r="F351" s="205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</row>
    <row r="352" customFormat="false" ht="15" hidden="false" customHeight="false" outlineLevel="0" collapsed="false">
      <c r="A352" s="199"/>
      <c r="B352" s="199"/>
      <c r="C352" s="199"/>
      <c r="D352" s="199"/>
      <c r="E352" s="199"/>
      <c r="F352" s="205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</row>
    <row r="353" customFormat="false" ht="15" hidden="false" customHeight="false" outlineLevel="0" collapsed="false">
      <c r="A353" s="199"/>
      <c r="B353" s="199"/>
      <c r="C353" s="199"/>
      <c r="D353" s="199"/>
      <c r="E353" s="199"/>
      <c r="F353" s="205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</row>
    <row r="354" customFormat="false" ht="15" hidden="false" customHeight="false" outlineLevel="0" collapsed="false">
      <c r="A354" s="199"/>
      <c r="B354" s="199"/>
      <c r="C354" s="199"/>
      <c r="D354" s="199"/>
      <c r="E354" s="199"/>
      <c r="F354" s="205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</row>
    <row r="355" customFormat="false" ht="15" hidden="false" customHeight="false" outlineLevel="0" collapsed="false">
      <c r="A355" s="199"/>
      <c r="B355" s="199"/>
      <c r="C355" s="199"/>
      <c r="D355" s="199"/>
      <c r="E355" s="199"/>
      <c r="F355" s="205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</row>
    <row r="356" customFormat="false" ht="15" hidden="false" customHeight="false" outlineLevel="0" collapsed="false">
      <c r="A356" s="199"/>
      <c r="B356" s="199"/>
      <c r="C356" s="199"/>
      <c r="D356" s="199"/>
      <c r="E356" s="199"/>
      <c r="F356" s="205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</row>
    <row r="357" customFormat="false" ht="15" hidden="false" customHeight="false" outlineLevel="0" collapsed="false">
      <c r="A357" s="199"/>
      <c r="B357" s="199"/>
      <c r="C357" s="199"/>
      <c r="D357" s="199"/>
      <c r="E357" s="199"/>
      <c r="F357" s="205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</row>
    <row r="358" customFormat="false" ht="15" hidden="false" customHeight="false" outlineLevel="0" collapsed="false">
      <c r="A358" s="199"/>
      <c r="B358" s="199"/>
      <c r="C358" s="199"/>
      <c r="D358" s="199"/>
      <c r="E358" s="199"/>
      <c r="F358" s="205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</row>
    <row r="359" customFormat="false" ht="15" hidden="false" customHeight="false" outlineLevel="0" collapsed="false">
      <c r="A359" s="199"/>
      <c r="B359" s="199"/>
      <c r="C359" s="199"/>
      <c r="D359" s="199"/>
      <c r="E359" s="199"/>
      <c r="F359" s="205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</row>
    <row r="360" customFormat="false" ht="15" hidden="false" customHeight="false" outlineLevel="0" collapsed="false">
      <c r="A360" s="199"/>
      <c r="B360" s="199"/>
      <c r="C360" s="199"/>
      <c r="D360" s="199"/>
      <c r="E360" s="199"/>
      <c r="F360" s="205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</row>
    <row r="361" customFormat="false" ht="15" hidden="false" customHeight="false" outlineLevel="0" collapsed="false">
      <c r="A361" s="199"/>
      <c r="B361" s="199"/>
      <c r="C361" s="199"/>
      <c r="D361" s="199"/>
      <c r="E361" s="199"/>
      <c r="F361" s="205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</row>
    <row r="362" customFormat="false" ht="15" hidden="false" customHeight="false" outlineLevel="0" collapsed="false">
      <c r="A362" s="199"/>
      <c r="B362" s="199"/>
      <c r="C362" s="199"/>
      <c r="D362" s="199"/>
      <c r="E362" s="199"/>
      <c r="F362" s="205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</row>
    <row r="363" customFormat="false" ht="15" hidden="false" customHeight="false" outlineLevel="0" collapsed="false">
      <c r="A363" s="199"/>
      <c r="B363" s="199"/>
      <c r="C363" s="199"/>
      <c r="D363" s="199"/>
      <c r="E363" s="199"/>
      <c r="F363" s="205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</row>
    <row r="364" customFormat="false" ht="15" hidden="false" customHeight="false" outlineLevel="0" collapsed="false">
      <c r="A364" s="199"/>
      <c r="B364" s="199"/>
      <c r="C364" s="199"/>
      <c r="D364" s="199"/>
      <c r="E364" s="199"/>
      <c r="F364" s="205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</row>
    <row r="365" customFormat="false" ht="15" hidden="false" customHeight="false" outlineLevel="0" collapsed="false">
      <c r="A365" s="199"/>
      <c r="B365" s="199"/>
      <c r="C365" s="199"/>
      <c r="D365" s="199"/>
      <c r="E365" s="199"/>
      <c r="F365" s="205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</row>
    <row r="366" customFormat="false" ht="15" hidden="false" customHeight="false" outlineLevel="0" collapsed="false">
      <c r="A366" s="199"/>
      <c r="B366" s="199"/>
      <c r="C366" s="199"/>
      <c r="D366" s="199"/>
      <c r="E366" s="199"/>
      <c r="F366" s="205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</row>
    <row r="367" customFormat="false" ht="15" hidden="false" customHeight="false" outlineLevel="0" collapsed="false">
      <c r="A367" s="199"/>
      <c r="B367" s="199"/>
      <c r="C367" s="199"/>
      <c r="D367" s="199"/>
      <c r="E367" s="199"/>
      <c r="F367" s="205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</row>
    <row r="368" customFormat="false" ht="15" hidden="false" customHeight="false" outlineLevel="0" collapsed="false">
      <c r="A368" s="199"/>
      <c r="B368" s="199"/>
      <c r="C368" s="199"/>
      <c r="D368" s="199"/>
      <c r="E368" s="199"/>
      <c r="F368" s="205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</row>
    <row r="369" customFormat="false" ht="15" hidden="false" customHeight="false" outlineLevel="0" collapsed="false">
      <c r="A369" s="199"/>
      <c r="B369" s="199"/>
      <c r="C369" s="199"/>
      <c r="D369" s="199"/>
      <c r="E369" s="199"/>
      <c r="F369" s="205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</row>
    <row r="370" customFormat="false" ht="15" hidden="false" customHeight="false" outlineLevel="0" collapsed="false">
      <c r="A370" s="199"/>
      <c r="B370" s="199"/>
      <c r="C370" s="199"/>
      <c r="D370" s="199"/>
      <c r="E370" s="199"/>
      <c r="F370" s="205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</row>
    <row r="371" customFormat="false" ht="15" hidden="false" customHeight="false" outlineLevel="0" collapsed="false">
      <c r="A371" s="199"/>
      <c r="B371" s="199"/>
      <c r="C371" s="199"/>
      <c r="D371" s="199"/>
      <c r="E371" s="199"/>
      <c r="F371" s="205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</row>
    <row r="372" customFormat="false" ht="15" hidden="false" customHeight="false" outlineLevel="0" collapsed="false">
      <c r="A372" s="199"/>
      <c r="B372" s="199"/>
      <c r="C372" s="199"/>
      <c r="D372" s="199"/>
      <c r="E372" s="199"/>
      <c r="F372" s="205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</row>
    <row r="373" customFormat="false" ht="15" hidden="false" customHeight="false" outlineLevel="0" collapsed="false">
      <c r="A373" s="199"/>
      <c r="B373" s="199"/>
      <c r="C373" s="199"/>
      <c r="D373" s="199"/>
      <c r="E373" s="199"/>
      <c r="F373" s="205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</row>
    <row r="374" customFormat="false" ht="15" hidden="false" customHeight="false" outlineLevel="0" collapsed="false">
      <c r="A374" s="199"/>
      <c r="B374" s="199"/>
      <c r="C374" s="199"/>
      <c r="D374" s="199"/>
      <c r="E374" s="199"/>
      <c r="F374" s="205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</row>
    <row r="375" customFormat="false" ht="15" hidden="false" customHeight="false" outlineLevel="0" collapsed="false">
      <c r="A375" s="199"/>
      <c r="B375" s="199"/>
      <c r="C375" s="199"/>
      <c r="D375" s="199"/>
      <c r="E375" s="199"/>
      <c r="F375" s="205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</row>
    <row r="376" customFormat="false" ht="15" hidden="false" customHeight="false" outlineLevel="0" collapsed="false">
      <c r="A376" s="199"/>
      <c r="B376" s="199"/>
      <c r="C376" s="199"/>
      <c r="D376" s="199"/>
      <c r="E376" s="199"/>
      <c r="F376" s="205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</row>
    <row r="377" customFormat="false" ht="15" hidden="false" customHeight="false" outlineLevel="0" collapsed="false">
      <c r="A377" s="199"/>
      <c r="B377" s="199"/>
      <c r="C377" s="199"/>
      <c r="D377" s="199"/>
      <c r="E377" s="199"/>
      <c r="F377" s="205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</row>
    <row r="378" customFormat="false" ht="15" hidden="false" customHeight="false" outlineLevel="0" collapsed="false">
      <c r="A378" s="199"/>
      <c r="B378" s="199"/>
      <c r="C378" s="199"/>
      <c r="D378" s="199"/>
      <c r="E378" s="199"/>
      <c r="F378" s="205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</row>
    <row r="379" customFormat="false" ht="15" hidden="false" customHeight="false" outlineLevel="0" collapsed="false">
      <c r="A379" s="199"/>
      <c r="B379" s="199"/>
      <c r="C379" s="199"/>
      <c r="D379" s="199"/>
      <c r="E379" s="199"/>
      <c r="F379" s="205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</row>
    <row r="380" customFormat="false" ht="15" hidden="false" customHeight="false" outlineLevel="0" collapsed="false">
      <c r="A380" s="199"/>
      <c r="B380" s="199"/>
      <c r="C380" s="199"/>
      <c r="D380" s="199"/>
      <c r="E380" s="199"/>
      <c r="F380" s="205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</row>
    <row r="381" customFormat="false" ht="15" hidden="false" customHeight="false" outlineLevel="0" collapsed="false">
      <c r="A381" s="199"/>
      <c r="B381" s="199"/>
      <c r="C381" s="199"/>
      <c r="D381" s="199"/>
      <c r="E381" s="199"/>
      <c r="F381" s="205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</row>
    <row r="382" customFormat="false" ht="15" hidden="false" customHeight="false" outlineLevel="0" collapsed="false">
      <c r="A382" s="199"/>
      <c r="B382" s="199"/>
      <c r="C382" s="199"/>
      <c r="D382" s="199"/>
      <c r="E382" s="199"/>
      <c r="F382" s="205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</row>
    <row r="383" customFormat="false" ht="15" hidden="false" customHeight="false" outlineLevel="0" collapsed="false">
      <c r="A383" s="199"/>
      <c r="B383" s="199"/>
      <c r="C383" s="199"/>
      <c r="D383" s="199"/>
      <c r="E383" s="199"/>
      <c r="F383" s="205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</row>
    <row r="384" customFormat="false" ht="15" hidden="false" customHeight="false" outlineLevel="0" collapsed="false">
      <c r="A384" s="199"/>
      <c r="B384" s="199"/>
      <c r="C384" s="199"/>
      <c r="D384" s="199"/>
      <c r="E384" s="199"/>
      <c r="F384" s="205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</row>
    <row r="385" customFormat="false" ht="15" hidden="false" customHeight="false" outlineLevel="0" collapsed="false">
      <c r="A385" s="199"/>
      <c r="B385" s="199"/>
      <c r="C385" s="199"/>
      <c r="D385" s="199"/>
      <c r="E385" s="199"/>
      <c r="F385" s="205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</row>
    <row r="386" customFormat="false" ht="15" hidden="false" customHeight="false" outlineLevel="0" collapsed="false">
      <c r="A386" s="199"/>
      <c r="B386" s="199"/>
      <c r="C386" s="199"/>
      <c r="D386" s="199"/>
      <c r="E386" s="199"/>
      <c r="F386" s="205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</row>
    <row r="387" customFormat="false" ht="15" hidden="false" customHeight="false" outlineLevel="0" collapsed="false">
      <c r="A387" s="199"/>
      <c r="B387" s="199"/>
      <c r="C387" s="199"/>
      <c r="D387" s="199"/>
      <c r="E387" s="199"/>
      <c r="F387" s="205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</row>
    <row r="388" customFormat="false" ht="15" hidden="false" customHeight="false" outlineLevel="0" collapsed="false">
      <c r="A388" s="199"/>
      <c r="B388" s="199"/>
      <c r="C388" s="199"/>
      <c r="D388" s="199"/>
      <c r="E388" s="199"/>
      <c r="F388" s="205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</row>
    <row r="389" customFormat="false" ht="15" hidden="false" customHeight="false" outlineLevel="0" collapsed="false">
      <c r="A389" s="199"/>
      <c r="B389" s="199"/>
      <c r="C389" s="199"/>
      <c r="D389" s="199"/>
      <c r="E389" s="199"/>
      <c r="F389" s="205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</row>
    <row r="390" customFormat="false" ht="15" hidden="false" customHeight="false" outlineLevel="0" collapsed="false">
      <c r="A390" s="199"/>
      <c r="B390" s="199"/>
      <c r="C390" s="199"/>
      <c r="D390" s="199"/>
      <c r="E390" s="199"/>
      <c r="F390" s="205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</row>
    <row r="391" customFormat="false" ht="15" hidden="false" customHeight="false" outlineLevel="0" collapsed="false">
      <c r="A391" s="199"/>
      <c r="B391" s="199"/>
      <c r="C391" s="199"/>
      <c r="D391" s="199"/>
      <c r="E391" s="199"/>
      <c r="F391" s="205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</row>
    <row r="392" customFormat="false" ht="15" hidden="false" customHeight="false" outlineLevel="0" collapsed="false">
      <c r="A392" s="199"/>
      <c r="B392" s="199"/>
      <c r="C392" s="199"/>
      <c r="D392" s="199"/>
      <c r="E392" s="199"/>
      <c r="F392" s="205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</row>
    <row r="393" customFormat="false" ht="15" hidden="false" customHeight="false" outlineLevel="0" collapsed="false">
      <c r="A393" s="199"/>
      <c r="B393" s="199"/>
      <c r="C393" s="199"/>
      <c r="D393" s="199"/>
      <c r="E393" s="199"/>
      <c r="F393" s="205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</row>
    <row r="394" customFormat="false" ht="15" hidden="false" customHeight="false" outlineLevel="0" collapsed="false">
      <c r="A394" s="199"/>
      <c r="B394" s="199"/>
      <c r="C394" s="199"/>
      <c r="D394" s="199"/>
      <c r="E394" s="199"/>
      <c r="F394" s="205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</row>
    <row r="395" customFormat="false" ht="15" hidden="false" customHeight="false" outlineLevel="0" collapsed="false">
      <c r="A395" s="199"/>
      <c r="B395" s="199"/>
      <c r="C395" s="199"/>
      <c r="D395" s="199"/>
      <c r="E395" s="199"/>
      <c r="F395" s="205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</row>
    <row r="396" customFormat="false" ht="15" hidden="false" customHeight="false" outlineLevel="0" collapsed="false">
      <c r="A396" s="199"/>
      <c r="B396" s="199"/>
      <c r="C396" s="199"/>
      <c r="D396" s="199"/>
      <c r="E396" s="199"/>
      <c r="F396" s="205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</row>
    <row r="397" customFormat="false" ht="15" hidden="false" customHeight="false" outlineLevel="0" collapsed="false">
      <c r="A397" s="199"/>
      <c r="B397" s="199"/>
      <c r="C397" s="199"/>
      <c r="D397" s="199"/>
      <c r="E397" s="199"/>
      <c r="F397" s="205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</row>
    <row r="398" customFormat="false" ht="15" hidden="false" customHeight="false" outlineLevel="0" collapsed="false">
      <c r="A398" s="199"/>
      <c r="B398" s="199"/>
      <c r="C398" s="199"/>
      <c r="D398" s="199"/>
      <c r="E398" s="199"/>
      <c r="F398" s="205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</row>
    <row r="399" customFormat="false" ht="15" hidden="false" customHeight="false" outlineLevel="0" collapsed="false">
      <c r="A399" s="199"/>
      <c r="B399" s="199"/>
      <c r="C399" s="199"/>
      <c r="D399" s="199"/>
      <c r="E399" s="199"/>
      <c r="F399" s="205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</row>
    <row r="400" customFormat="false" ht="15" hidden="false" customHeight="false" outlineLevel="0" collapsed="false">
      <c r="A400" s="199"/>
      <c r="B400" s="199"/>
      <c r="C400" s="199"/>
      <c r="D400" s="199"/>
      <c r="E400" s="199"/>
      <c r="F400" s="205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</row>
    <row r="401" customFormat="false" ht="15" hidden="false" customHeight="false" outlineLevel="0" collapsed="false">
      <c r="A401" s="199"/>
      <c r="B401" s="199"/>
      <c r="C401" s="199"/>
      <c r="D401" s="199"/>
      <c r="E401" s="199"/>
      <c r="F401" s="205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</row>
    <row r="402" customFormat="false" ht="15" hidden="false" customHeight="false" outlineLevel="0" collapsed="false">
      <c r="A402" s="199"/>
      <c r="B402" s="199"/>
      <c r="C402" s="199"/>
      <c r="D402" s="199"/>
      <c r="E402" s="199"/>
      <c r="F402" s="205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</row>
    <row r="403" customFormat="false" ht="15" hidden="false" customHeight="false" outlineLevel="0" collapsed="false">
      <c r="A403" s="199"/>
      <c r="B403" s="199"/>
      <c r="C403" s="199"/>
      <c r="D403" s="199"/>
      <c r="E403" s="199"/>
      <c r="F403" s="205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</row>
    <row r="404" customFormat="false" ht="15" hidden="false" customHeight="false" outlineLevel="0" collapsed="false">
      <c r="A404" s="199"/>
      <c r="B404" s="199"/>
      <c r="C404" s="199"/>
      <c r="D404" s="199"/>
      <c r="E404" s="199"/>
      <c r="F404" s="205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</row>
    <row r="405" customFormat="false" ht="15" hidden="false" customHeight="false" outlineLevel="0" collapsed="false">
      <c r="A405" s="199"/>
      <c r="B405" s="199"/>
      <c r="C405" s="199"/>
      <c r="D405" s="199"/>
      <c r="E405" s="199"/>
      <c r="F405" s="205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</row>
    <row r="406" customFormat="false" ht="15" hidden="false" customHeight="false" outlineLevel="0" collapsed="false">
      <c r="A406" s="199"/>
      <c r="B406" s="199"/>
      <c r="C406" s="199"/>
      <c r="D406" s="199"/>
      <c r="E406" s="199"/>
      <c r="F406" s="205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</row>
    <row r="407" customFormat="false" ht="15" hidden="false" customHeight="false" outlineLevel="0" collapsed="false">
      <c r="A407" s="199"/>
      <c r="B407" s="199"/>
      <c r="C407" s="199"/>
      <c r="D407" s="199"/>
      <c r="E407" s="199"/>
      <c r="F407" s="205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</row>
    <row r="408" customFormat="false" ht="15" hidden="false" customHeight="false" outlineLevel="0" collapsed="false">
      <c r="A408" s="199"/>
      <c r="B408" s="199"/>
      <c r="C408" s="199"/>
      <c r="D408" s="199"/>
      <c r="E408" s="199"/>
      <c r="F408" s="205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</row>
    <row r="409" customFormat="false" ht="15" hidden="false" customHeight="false" outlineLevel="0" collapsed="false">
      <c r="A409" s="199"/>
      <c r="B409" s="199"/>
      <c r="C409" s="199"/>
      <c r="D409" s="199"/>
      <c r="E409" s="199"/>
      <c r="F409" s="205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</row>
    <row r="410" customFormat="false" ht="15" hidden="false" customHeight="false" outlineLevel="0" collapsed="false">
      <c r="A410" s="199"/>
      <c r="B410" s="199"/>
      <c r="C410" s="199"/>
      <c r="D410" s="199"/>
      <c r="E410" s="199"/>
      <c r="F410" s="205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</row>
    <row r="411" customFormat="false" ht="15" hidden="false" customHeight="false" outlineLevel="0" collapsed="false">
      <c r="A411" s="199"/>
      <c r="B411" s="199"/>
      <c r="C411" s="199"/>
      <c r="D411" s="199"/>
      <c r="E411" s="199"/>
      <c r="F411" s="205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</row>
    <row r="412" customFormat="false" ht="15" hidden="false" customHeight="false" outlineLevel="0" collapsed="false">
      <c r="A412" s="199"/>
      <c r="B412" s="199"/>
      <c r="C412" s="199"/>
      <c r="D412" s="199"/>
      <c r="E412" s="199"/>
      <c r="F412" s="205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</row>
    <row r="413" customFormat="false" ht="15" hidden="false" customHeight="false" outlineLevel="0" collapsed="false">
      <c r="A413" s="199"/>
      <c r="B413" s="199"/>
      <c r="C413" s="199"/>
      <c r="D413" s="199"/>
      <c r="E413" s="199"/>
      <c r="F413" s="205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</row>
    <row r="414" customFormat="false" ht="15" hidden="false" customHeight="false" outlineLevel="0" collapsed="false">
      <c r="A414" s="199"/>
      <c r="B414" s="199"/>
      <c r="C414" s="199"/>
      <c r="D414" s="199"/>
      <c r="E414" s="199"/>
      <c r="F414" s="205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</row>
    <row r="415" customFormat="false" ht="15" hidden="false" customHeight="false" outlineLevel="0" collapsed="false">
      <c r="A415" s="199"/>
      <c r="B415" s="199"/>
      <c r="C415" s="199"/>
      <c r="D415" s="199"/>
      <c r="E415" s="199"/>
      <c r="F415" s="205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</row>
    <row r="416" customFormat="false" ht="15" hidden="false" customHeight="false" outlineLevel="0" collapsed="false">
      <c r="A416" s="199"/>
      <c r="B416" s="199"/>
      <c r="C416" s="199"/>
      <c r="D416" s="199"/>
      <c r="E416" s="199"/>
      <c r="F416" s="205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</row>
    <row r="417" customFormat="false" ht="15" hidden="false" customHeight="false" outlineLevel="0" collapsed="false">
      <c r="A417" s="199"/>
      <c r="B417" s="199"/>
      <c r="C417" s="199"/>
      <c r="D417" s="199"/>
      <c r="E417" s="199"/>
      <c r="F417" s="205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</row>
    <row r="418" customFormat="false" ht="15" hidden="false" customHeight="false" outlineLevel="0" collapsed="false">
      <c r="A418" s="199"/>
      <c r="B418" s="199"/>
      <c r="C418" s="199"/>
      <c r="D418" s="199"/>
      <c r="E418" s="199"/>
      <c r="F418" s="205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</row>
    <row r="419" customFormat="false" ht="15" hidden="false" customHeight="false" outlineLevel="0" collapsed="false">
      <c r="A419" s="199"/>
      <c r="B419" s="199"/>
      <c r="C419" s="199"/>
      <c r="D419" s="199"/>
      <c r="E419" s="199"/>
      <c r="F419" s="205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</row>
    <row r="420" customFormat="false" ht="15" hidden="false" customHeight="false" outlineLevel="0" collapsed="false">
      <c r="A420" s="199"/>
      <c r="B420" s="199"/>
      <c r="C420" s="199"/>
      <c r="D420" s="199"/>
      <c r="E420" s="199"/>
      <c r="F420" s="205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</row>
    <row r="421" customFormat="false" ht="15" hidden="false" customHeight="false" outlineLevel="0" collapsed="false">
      <c r="A421" s="199"/>
      <c r="B421" s="199"/>
      <c r="C421" s="199"/>
      <c r="D421" s="199"/>
      <c r="E421" s="199"/>
      <c r="F421" s="205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</row>
    <row r="422" customFormat="false" ht="15" hidden="false" customHeight="false" outlineLevel="0" collapsed="false">
      <c r="A422" s="199"/>
      <c r="B422" s="199"/>
      <c r="C422" s="199"/>
      <c r="D422" s="199"/>
      <c r="E422" s="199"/>
      <c r="F422" s="205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</row>
    <row r="423" customFormat="false" ht="15" hidden="false" customHeight="false" outlineLevel="0" collapsed="false">
      <c r="A423" s="199"/>
      <c r="B423" s="199"/>
      <c r="C423" s="199"/>
      <c r="D423" s="199"/>
      <c r="E423" s="199"/>
      <c r="F423" s="205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</row>
    <row r="424" customFormat="false" ht="15" hidden="false" customHeight="false" outlineLevel="0" collapsed="false">
      <c r="A424" s="199"/>
      <c r="B424" s="199"/>
      <c r="C424" s="199"/>
      <c r="D424" s="199"/>
      <c r="E424" s="199"/>
      <c r="F424" s="205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</row>
    <row r="425" customFormat="false" ht="15" hidden="false" customHeight="false" outlineLevel="0" collapsed="false">
      <c r="A425" s="199"/>
      <c r="B425" s="199"/>
      <c r="C425" s="199"/>
      <c r="D425" s="199"/>
      <c r="E425" s="199"/>
      <c r="F425" s="205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</row>
    <row r="426" customFormat="false" ht="15" hidden="false" customHeight="false" outlineLevel="0" collapsed="false">
      <c r="A426" s="199"/>
      <c r="B426" s="199"/>
      <c r="C426" s="199"/>
      <c r="D426" s="199"/>
      <c r="E426" s="199"/>
      <c r="F426" s="205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</row>
    <row r="427" customFormat="false" ht="15" hidden="false" customHeight="false" outlineLevel="0" collapsed="false">
      <c r="A427" s="199"/>
      <c r="B427" s="199"/>
      <c r="C427" s="199"/>
      <c r="D427" s="199"/>
      <c r="E427" s="199"/>
      <c r="F427" s="205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</row>
    <row r="428" customFormat="false" ht="15" hidden="false" customHeight="false" outlineLevel="0" collapsed="false">
      <c r="A428" s="199"/>
      <c r="B428" s="199"/>
      <c r="C428" s="199"/>
      <c r="D428" s="199"/>
      <c r="E428" s="199"/>
      <c r="F428" s="205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</row>
    <row r="429" customFormat="false" ht="15" hidden="false" customHeight="false" outlineLevel="0" collapsed="false">
      <c r="A429" s="199"/>
      <c r="B429" s="199"/>
      <c r="C429" s="199"/>
      <c r="D429" s="199"/>
      <c r="E429" s="199"/>
      <c r="F429" s="205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</row>
    <row r="430" customFormat="false" ht="15" hidden="false" customHeight="false" outlineLevel="0" collapsed="false">
      <c r="A430" s="199"/>
      <c r="B430" s="199"/>
      <c r="C430" s="199"/>
      <c r="D430" s="199"/>
      <c r="E430" s="199"/>
      <c r="F430" s="205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</row>
    <row r="431" customFormat="false" ht="15" hidden="false" customHeight="false" outlineLevel="0" collapsed="false">
      <c r="A431" s="199"/>
      <c r="B431" s="199"/>
      <c r="C431" s="199"/>
      <c r="D431" s="199"/>
      <c r="E431" s="199"/>
      <c r="F431" s="205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</row>
    <row r="432" customFormat="false" ht="15" hidden="false" customHeight="false" outlineLevel="0" collapsed="false">
      <c r="A432" s="199"/>
      <c r="B432" s="199"/>
      <c r="C432" s="199"/>
      <c r="D432" s="199"/>
      <c r="E432" s="199"/>
      <c r="F432" s="205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</row>
    <row r="433" customFormat="false" ht="15" hidden="false" customHeight="false" outlineLevel="0" collapsed="false">
      <c r="A433" s="199"/>
      <c r="B433" s="199"/>
      <c r="C433" s="199"/>
      <c r="D433" s="199"/>
      <c r="E433" s="199"/>
      <c r="F433" s="205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</row>
    <row r="434" customFormat="false" ht="15" hidden="false" customHeight="false" outlineLevel="0" collapsed="false">
      <c r="A434" s="199"/>
      <c r="B434" s="199"/>
      <c r="C434" s="199"/>
      <c r="D434" s="199"/>
      <c r="E434" s="199"/>
      <c r="F434" s="205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</row>
    <row r="435" customFormat="false" ht="15" hidden="false" customHeight="false" outlineLevel="0" collapsed="false">
      <c r="A435" s="199"/>
      <c r="B435" s="199"/>
      <c r="C435" s="199"/>
      <c r="D435" s="199"/>
      <c r="E435" s="199"/>
      <c r="F435" s="205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</row>
    <row r="436" customFormat="false" ht="15" hidden="false" customHeight="false" outlineLevel="0" collapsed="false">
      <c r="A436" s="199"/>
      <c r="B436" s="199"/>
      <c r="C436" s="199"/>
      <c r="D436" s="199"/>
      <c r="E436" s="199"/>
      <c r="F436" s="205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</row>
    <row r="437" customFormat="false" ht="15" hidden="false" customHeight="false" outlineLevel="0" collapsed="false">
      <c r="A437" s="199"/>
      <c r="B437" s="199"/>
      <c r="C437" s="199"/>
      <c r="D437" s="199"/>
      <c r="E437" s="199"/>
      <c r="F437" s="205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</row>
    <row r="438" customFormat="false" ht="15" hidden="false" customHeight="false" outlineLevel="0" collapsed="false">
      <c r="A438" s="199"/>
      <c r="B438" s="199"/>
      <c r="C438" s="199"/>
      <c r="D438" s="199"/>
      <c r="E438" s="199"/>
      <c r="F438" s="205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</row>
    <row r="439" customFormat="false" ht="15" hidden="false" customHeight="false" outlineLevel="0" collapsed="false">
      <c r="A439" s="199"/>
      <c r="B439" s="199"/>
      <c r="C439" s="199"/>
      <c r="D439" s="199"/>
      <c r="E439" s="199"/>
      <c r="F439" s="205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</row>
    <row r="440" customFormat="false" ht="15" hidden="false" customHeight="false" outlineLevel="0" collapsed="false">
      <c r="A440" s="199"/>
      <c r="B440" s="199"/>
      <c r="C440" s="199"/>
      <c r="D440" s="199"/>
      <c r="E440" s="199"/>
      <c r="F440" s="205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</row>
    <row r="441" customFormat="false" ht="15" hidden="false" customHeight="false" outlineLevel="0" collapsed="false">
      <c r="A441" s="199"/>
      <c r="B441" s="199"/>
      <c r="C441" s="199"/>
      <c r="D441" s="199"/>
      <c r="E441" s="199"/>
      <c r="F441" s="205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</row>
    <row r="442" customFormat="false" ht="15" hidden="false" customHeight="false" outlineLevel="0" collapsed="false">
      <c r="A442" s="199"/>
      <c r="B442" s="199"/>
      <c r="C442" s="199"/>
      <c r="D442" s="199"/>
      <c r="E442" s="199"/>
      <c r="F442" s="205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</row>
    <row r="443" customFormat="false" ht="15" hidden="false" customHeight="false" outlineLevel="0" collapsed="false">
      <c r="A443" s="199"/>
      <c r="B443" s="199"/>
      <c r="C443" s="199"/>
      <c r="D443" s="199"/>
      <c r="E443" s="199"/>
      <c r="F443" s="205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</row>
    <row r="444" customFormat="false" ht="15" hidden="false" customHeight="false" outlineLevel="0" collapsed="false">
      <c r="A444" s="199"/>
      <c r="B444" s="199"/>
      <c r="C444" s="199"/>
      <c r="D444" s="199"/>
      <c r="E444" s="199"/>
      <c r="F444" s="205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</row>
    <row r="445" customFormat="false" ht="15" hidden="false" customHeight="false" outlineLevel="0" collapsed="false">
      <c r="A445" s="199"/>
      <c r="B445" s="199"/>
      <c r="C445" s="199"/>
      <c r="D445" s="199"/>
      <c r="E445" s="199"/>
      <c r="F445" s="205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</row>
    <row r="446" customFormat="false" ht="15" hidden="false" customHeight="false" outlineLevel="0" collapsed="false">
      <c r="A446" s="199"/>
      <c r="B446" s="199"/>
      <c r="C446" s="199"/>
      <c r="D446" s="199"/>
      <c r="E446" s="199"/>
      <c r="F446" s="205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</row>
    <row r="447" customFormat="false" ht="15" hidden="false" customHeight="false" outlineLevel="0" collapsed="false">
      <c r="A447" s="199"/>
      <c r="B447" s="199"/>
      <c r="C447" s="199"/>
      <c r="D447" s="199"/>
      <c r="E447" s="199"/>
      <c r="F447" s="205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</row>
    <row r="448" customFormat="false" ht="15" hidden="false" customHeight="false" outlineLevel="0" collapsed="false">
      <c r="A448" s="199"/>
      <c r="B448" s="199"/>
      <c r="C448" s="199"/>
      <c r="D448" s="199"/>
      <c r="E448" s="199"/>
      <c r="F448" s="205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</row>
    <row r="449" customFormat="false" ht="15" hidden="false" customHeight="false" outlineLevel="0" collapsed="false">
      <c r="A449" s="199"/>
      <c r="B449" s="199"/>
      <c r="C449" s="199"/>
      <c r="D449" s="199"/>
      <c r="E449" s="199"/>
      <c r="F449" s="205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</row>
    <row r="450" customFormat="false" ht="15" hidden="false" customHeight="false" outlineLevel="0" collapsed="false">
      <c r="A450" s="199"/>
      <c r="B450" s="199"/>
      <c r="C450" s="199"/>
      <c r="D450" s="199"/>
      <c r="E450" s="199"/>
      <c r="F450" s="205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</row>
    <row r="451" customFormat="false" ht="15" hidden="false" customHeight="false" outlineLevel="0" collapsed="false">
      <c r="A451" s="199"/>
      <c r="B451" s="199"/>
      <c r="C451" s="199"/>
      <c r="D451" s="199"/>
      <c r="E451" s="199"/>
      <c r="F451" s="205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</row>
    <row r="452" customFormat="false" ht="15" hidden="false" customHeight="false" outlineLevel="0" collapsed="false">
      <c r="A452" s="199"/>
      <c r="B452" s="199"/>
      <c r="C452" s="199"/>
      <c r="D452" s="199"/>
      <c r="E452" s="199"/>
      <c r="F452" s="205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</row>
    <row r="453" customFormat="false" ht="15" hidden="false" customHeight="false" outlineLevel="0" collapsed="false">
      <c r="A453" s="199"/>
      <c r="B453" s="199"/>
      <c r="C453" s="199"/>
      <c r="D453" s="199"/>
      <c r="E453" s="199"/>
      <c r="F453" s="205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</row>
    <row r="454" customFormat="false" ht="15" hidden="false" customHeight="false" outlineLevel="0" collapsed="false">
      <c r="A454" s="199"/>
      <c r="B454" s="199"/>
      <c r="C454" s="199"/>
      <c r="D454" s="199"/>
      <c r="E454" s="199"/>
      <c r="F454" s="205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</row>
    <row r="455" customFormat="false" ht="15" hidden="false" customHeight="false" outlineLevel="0" collapsed="false">
      <c r="A455" s="199"/>
      <c r="B455" s="199"/>
      <c r="C455" s="199"/>
      <c r="D455" s="199"/>
      <c r="E455" s="199"/>
      <c r="F455" s="205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</row>
    <row r="456" customFormat="false" ht="15" hidden="false" customHeight="false" outlineLevel="0" collapsed="false">
      <c r="A456" s="199"/>
      <c r="B456" s="199"/>
      <c r="C456" s="199"/>
      <c r="D456" s="199"/>
      <c r="E456" s="199"/>
      <c r="F456" s="205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</row>
    <row r="457" customFormat="false" ht="15" hidden="false" customHeight="false" outlineLevel="0" collapsed="false">
      <c r="A457" s="199"/>
      <c r="B457" s="199"/>
      <c r="C457" s="199"/>
      <c r="D457" s="199"/>
      <c r="E457" s="199"/>
      <c r="F457" s="205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</row>
    <row r="458" customFormat="false" ht="15" hidden="false" customHeight="false" outlineLevel="0" collapsed="false">
      <c r="A458" s="199"/>
      <c r="B458" s="199"/>
      <c r="C458" s="199"/>
      <c r="D458" s="199"/>
      <c r="E458" s="199"/>
      <c r="F458" s="205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</row>
    <row r="459" customFormat="false" ht="15" hidden="false" customHeight="false" outlineLevel="0" collapsed="false">
      <c r="A459" s="199"/>
      <c r="B459" s="199"/>
      <c r="C459" s="199"/>
      <c r="D459" s="199"/>
      <c r="E459" s="199"/>
      <c r="F459" s="205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</row>
    <row r="460" customFormat="false" ht="15" hidden="false" customHeight="false" outlineLevel="0" collapsed="false">
      <c r="A460" s="199"/>
      <c r="B460" s="199"/>
      <c r="C460" s="199"/>
      <c r="D460" s="199"/>
      <c r="E460" s="199"/>
      <c r="F460" s="205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</row>
    <row r="461" customFormat="false" ht="15" hidden="false" customHeight="false" outlineLevel="0" collapsed="false">
      <c r="A461" s="199"/>
      <c r="B461" s="199"/>
      <c r="C461" s="199"/>
      <c r="D461" s="199"/>
      <c r="E461" s="199"/>
      <c r="F461" s="205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</row>
    <row r="462" customFormat="false" ht="15" hidden="false" customHeight="false" outlineLevel="0" collapsed="false">
      <c r="A462" s="199"/>
      <c r="B462" s="199"/>
      <c r="C462" s="199"/>
      <c r="D462" s="199"/>
      <c r="E462" s="199"/>
      <c r="F462" s="205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</row>
    <row r="463" customFormat="false" ht="15" hidden="false" customHeight="false" outlineLevel="0" collapsed="false">
      <c r="A463" s="199"/>
      <c r="B463" s="199"/>
      <c r="C463" s="199"/>
      <c r="D463" s="199"/>
      <c r="E463" s="199"/>
      <c r="F463" s="205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</row>
    <row r="464" customFormat="false" ht="15" hidden="false" customHeight="false" outlineLevel="0" collapsed="false">
      <c r="A464" s="199"/>
      <c r="B464" s="199"/>
      <c r="C464" s="199"/>
      <c r="D464" s="199"/>
      <c r="E464" s="199"/>
      <c r="F464" s="205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</row>
    <row r="465" customFormat="false" ht="15" hidden="false" customHeight="false" outlineLevel="0" collapsed="false">
      <c r="A465" s="199"/>
      <c r="B465" s="199"/>
      <c r="C465" s="199"/>
      <c r="D465" s="199"/>
      <c r="E465" s="199"/>
      <c r="F465" s="205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</row>
    <row r="466" customFormat="false" ht="15" hidden="false" customHeight="false" outlineLevel="0" collapsed="false">
      <c r="A466" s="199"/>
      <c r="B466" s="199"/>
      <c r="C466" s="199"/>
      <c r="D466" s="199"/>
      <c r="E466" s="199"/>
      <c r="F466" s="205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</row>
    <row r="467" customFormat="false" ht="15" hidden="false" customHeight="false" outlineLevel="0" collapsed="false">
      <c r="A467" s="199"/>
      <c r="B467" s="199"/>
      <c r="C467" s="199"/>
      <c r="D467" s="199"/>
      <c r="E467" s="199"/>
      <c r="F467" s="205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</row>
    <row r="468" customFormat="false" ht="15" hidden="false" customHeight="false" outlineLevel="0" collapsed="false">
      <c r="A468" s="199"/>
      <c r="B468" s="199"/>
      <c r="C468" s="199"/>
      <c r="D468" s="199"/>
      <c r="E468" s="199"/>
      <c r="F468" s="205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</row>
    <row r="469" customFormat="false" ht="15" hidden="false" customHeight="false" outlineLevel="0" collapsed="false">
      <c r="A469" s="199"/>
      <c r="B469" s="199"/>
      <c r="C469" s="199"/>
      <c r="D469" s="199"/>
      <c r="E469" s="199"/>
      <c r="F469" s="205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</row>
    <row r="470" customFormat="false" ht="15" hidden="false" customHeight="false" outlineLevel="0" collapsed="false">
      <c r="A470" s="199"/>
      <c r="B470" s="199"/>
      <c r="C470" s="199"/>
      <c r="D470" s="199"/>
      <c r="E470" s="199"/>
      <c r="F470" s="205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</row>
    <row r="471" customFormat="false" ht="15" hidden="false" customHeight="false" outlineLevel="0" collapsed="false">
      <c r="A471" s="199"/>
      <c r="B471" s="199"/>
      <c r="C471" s="199"/>
      <c r="D471" s="199"/>
      <c r="E471" s="199"/>
      <c r="F471" s="205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</row>
    <row r="472" customFormat="false" ht="15" hidden="false" customHeight="false" outlineLevel="0" collapsed="false">
      <c r="A472" s="199"/>
      <c r="B472" s="199"/>
      <c r="C472" s="199"/>
      <c r="D472" s="199"/>
      <c r="E472" s="199"/>
      <c r="F472" s="205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</row>
    <row r="473" customFormat="false" ht="15" hidden="false" customHeight="false" outlineLevel="0" collapsed="false">
      <c r="A473" s="199"/>
      <c r="B473" s="199"/>
      <c r="C473" s="199"/>
      <c r="D473" s="199"/>
      <c r="E473" s="199"/>
      <c r="F473" s="205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</row>
    <row r="474" customFormat="false" ht="15" hidden="false" customHeight="false" outlineLevel="0" collapsed="false">
      <c r="A474" s="199"/>
      <c r="B474" s="199"/>
      <c r="C474" s="199"/>
      <c r="D474" s="199"/>
      <c r="E474" s="199"/>
      <c r="F474" s="205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</row>
    <row r="475" customFormat="false" ht="15" hidden="false" customHeight="false" outlineLevel="0" collapsed="false">
      <c r="A475" s="199"/>
      <c r="B475" s="199"/>
      <c r="C475" s="199"/>
      <c r="D475" s="199"/>
      <c r="E475" s="199"/>
      <c r="F475" s="205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</row>
    <row r="476" customFormat="false" ht="15" hidden="false" customHeight="false" outlineLevel="0" collapsed="false">
      <c r="A476" s="199"/>
      <c r="B476" s="199"/>
      <c r="C476" s="199"/>
      <c r="D476" s="199"/>
      <c r="E476" s="199"/>
      <c r="F476" s="205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</row>
    <row r="477" customFormat="false" ht="15" hidden="false" customHeight="false" outlineLevel="0" collapsed="false">
      <c r="A477" s="199"/>
      <c r="B477" s="199"/>
      <c r="C477" s="199"/>
      <c r="D477" s="199"/>
      <c r="E477" s="199"/>
      <c r="F477" s="205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</row>
    <row r="478" customFormat="false" ht="15" hidden="false" customHeight="false" outlineLevel="0" collapsed="false">
      <c r="A478" s="199"/>
      <c r="B478" s="199"/>
      <c r="C478" s="199"/>
      <c r="D478" s="199"/>
      <c r="E478" s="199"/>
      <c r="F478" s="205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</row>
    <row r="479" customFormat="false" ht="15" hidden="false" customHeight="false" outlineLevel="0" collapsed="false">
      <c r="A479" s="199"/>
      <c r="B479" s="199"/>
      <c r="C479" s="199"/>
      <c r="D479" s="199"/>
      <c r="E479" s="199"/>
      <c r="F479" s="205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</row>
    <row r="480" customFormat="false" ht="15" hidden="false" customHeight="false" outlineLevel="0" collapsed="false">
      <c r="A480" s="199"/>
      <c r="B480" s="199"/>
      <c r="C480" s="199"/>
      <c r="D480" s="199"/>
      <c r="E480" s="199"/>
      <c r="F480" s="205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</row>
    <row r="481" customFormat="false" ht="15" hidden="false" customHeight="false" outlineLevel="0" collapsed="false">
      <c r="A481" s="199"/>
      <c r="B481" s="199"/>
      <c r="C481" s="199"/>
      <c r="D481" s="199"/>
      <c r="E481" s="199"/>
      <c r="F481" s="205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</row>
    <row r="482" customFormat="false" ht="15" hidden="false" customHeight="false" outlineLevel="0" collapsed="false">
      <c r="A482" s="199"/>
      <c r="B482" s="199"/>
      <c r="C482" s="199"/>
      <c r="D482" s="199"/>
      <c r="E482" s="199"/>
      <c r="F482" s="205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</row>
    <row r="483" customFormat="false" ht="15" hidden="false" customHeight="false" outlineLevel="0" collapsed="false">
      <c r="A483" s="199"/>
      <c r="B483" s="199"/>
      <c r="C483" s="199"/>
      <c r="D483" s="199"/>
      <c r="E483" s="199"/>
      <c r="F483" s="205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</row>
    <row r="484" customFormat="false" ht="15" hidden="false" customHeight="false" outlineLevel="0" collapsed="false">
      <c r="A484" s="199"/>
      <c r="B484" s="199"/>
      <c r="C484" s="199"/>
      <c r="D484" s="199"/>
      <c r="E484" s="199"/>
      <c r="F484" s="205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</row>
    <row r="485" customFormat="false" ht="15" hidden="false" customHeight="false" outlineLevel="0" collapsed="false">
      <c r="A485" s="199"/>
      <c r="B485" s="199"/>
      <c r="C485" s="199"/>
      <c r="D485" s="199"/>
      <c r="E485" s="199"/>
      <c r="F485" s="205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</row>
    <row r="486" customFormat="false" ht="15" hidden="false" customHeight="false" outlineLevel="0" collapsed="false">
      <c r="A486" s="199"/>
      <c r="B486" s="199"/>
      <c r="C486" s="199"/>
      <c r="D486" s="199"/>
      <c r="E486" s="199"/>
      <c r="F486" s="205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</row>
    <row r="487" customFormat="false" ht="15" hidden="false" customHeight="false" outlineLevel="0" collapsed="false">
      <c r="A487" s="199"/>
      <c r="B487" s="199"/>
      <c r="C487" s="199"/>
      <c r="D487" s="199"/>
      <c r="E487" s="199"/>
      <c r="F487" s="205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</row>
    <row r="488" customFormat="false" ht="15" hidden="false" customHeight="false" outlineLevel="0" collapsed="false">
      <c r="A488" s="199"/>
      <c r="B488" s="199"/>
      <c r="C488" s="199"/>
      <c r="D488" s="199"/>
      <c r="E488" s="199"/>
      <c r="F488" s="205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</row>
    <row r="489" customFormat="false" ht="15" hidden="false" customHeight="false" outlineLevel="0" collapsed="false">
      <c r="A489" s="199"/>
      <c r="B489" s="199"/>
      <c r="C489" s="199"/>
      <c r="D489" s="199"/>
      <c r="E489" s="199"/>
      <c r="F489" s="205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</row>
    <row r="490" customFormat="false" ht="15" hidden="false" customHeight="false" outlineLevel="0" collapsed="false">
      <c r="A490" s="199"/>
      <c r="B490" s="199"/>
      <c r="C490" s="199"/>
      <c r="D490" s="199"/>
      <c r="E490" s="199"/>
      <c r="F490" s="205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</row>
    <row r="491" customFormat="false" ht="15" hidden="false" customHeight="false" outlineLevel="0" collapsed="false">
      <c r="A491" s="199"/>
      <c r="B491" s="199"/>
      <c r="C491" s="199"/>
      <c r="D491" s="199"/>
      <c r="E491" s="199"/>
      <c r="F491" s="205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</row>
    <row r="492" customFormat="false" ht="15" hidden="false" customHeight="false" outlineLevel="0" collapsed="false">
      <c r="A492" s="199"/>
      <c r="B492" s="199"/>
      <c r="C492" s="199"/>
      <c r="D492" s="199"/>
      <c r="E492" s="199"/>
      <c r="F492" s="205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</row>
    <row r="493" customFormat="false" ht="15" hidden="false" customHeight="false" outlineLevel="0" collapsed="false">
      <c r="A493" s="199"/>
      <c r="B493" s="199"/>
      <c r="C493" s="199"/>
      <c r="D493" s="199"/>
      <c r="E493" s="199"/>
      <c r="F493" s="205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</row>
    <row r="494" customFormat="false" ht="15" hidden="false" customHeight="false" outlineLevel="0" collapsed="false">
      <c r="A494" s="199"/>
      <c r="B494" s="199"/>
      <c r="C494" s="199"/>
      <c r="D494" s="199"/>
      <c r="E494" s="199"/>
      <c r="F494" s="205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</row>
    <row r="495" customFormat="false" ht="15" hidden="false" customHeight="false" outlineLevel="0" collapsed="false">
      <c r="A495" s="199"/>
      <c r="B495" s="199"/>
      <c r="C495" s="199"/>
      <c r="D495" s="199"/>
      <c r="E495" s="199"/>
      <c r="F495" s="205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</row>
    <row r="496" customFormat="false" ht="15" hidden="false" customHeight="false" outlineLevel="0" collapsed="false">
      <c r="A496" s="199"/>
      <c r="B496" s="199"/>
      <c r="C496" s="199"/>
      <c r="D496" s="199"/>
      <c r="E496" s="199"/>
      <c r="F496" s="205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</row>
    <row r="497" customFormat="false" ht="15" hidden="false" customHeight="false" outlineLevel="0" collapsed="false">
      <c r="A497" s="199"/>
      <c r="B497" s="199"/>
      <c r="C497" s="199"/>
      <c r="D497" s="199"/>
      <c r="E497" s="199"/>
      <c r="F497" s="205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</row>
    <row r="498" customFormat="false" ht="15" hidden="false" customHeight="false" outlineLevel="0" collapsed="false">
      <c r="A498" s="199"/>
      <c r="B498" s="199"/>
      <c r="C498" s="199"/>
      <c r="D498" s="199"/>
      <c r="E498" s="199"/>
      <c r="F498" s="205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</row>
    <row r="499" customFormat="false" ht="15" hidden="false" customHeight="false" outlineLevel="0" collapsed="false">
      <c r="A499" s="199"/>
      <c r="B499" s="199"/>
      <c r="C499" s="199"/>
      <c r="D499" s="199"/>
      <c r="E499" s="199"/>
      <c r="F499" s="205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</row>
    <row r="500" customFormat="false" ht="15" hidden="false" customHeight="false" outlineLevel="0" collapsed="false">
      <c r="A500" s="199"/>
      <c r="B500" s="199"/>
      <c r="C500" s="199"/>
      <c r="D500" s="199"/>
      <c r="E500" s="199"/>
      <c r="F500" s="205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</row>
    <row r="501" customFormat="false" ht="15" hidden="false" customHeight="false" outlineLevel="0" collapsed="false">
      <c r="A501" s="199"/>
      <c r="B501" s="199"/>
      <c r="C501" s="199"/>
      <c r="D501" s="199"/>
      <c r="E501" s="199"/>
      <c r="F501" s="205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</row>
    <row r="502" customFormat="false" ht="15" hidden="false" customHeight="false" outlineLevel="0" collapsed="false">
      <c r="A502" s="199"/>
      <c r="B502" s="199"/>
      <c r="C502" s="199"/>
      <c r="D502" s="199"/>
      <c r="E502" s="199"/>
      <c r="F502" s="205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</row>
    <row r="503" customFormat="false" ht="15" hidden="false" customHeight="false" outlineLevel="0" collapsed="false">
      <c r="A503" s="199"/>
      <c r="B503" s="199"/>
      <c r="C503" s="199"/>
      <c r="D503" s="199"/>
      <c r="E503" s="199"/>
      <c r="F503" s="205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</row>
    <row r="504" customFormat="false" ht="15" hidden="false" customHeight="false" outlineLevel="0" collapsed="false">
      <c r="A504" s="199"/>
      <c r="B504" s="199"/>
      <c r="C504" s="199"/>
      <c r="D504" s="199"/>
      <c r="E504" s="199"/>
      <c r="F504" s="205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</row>
    <row r="505" customFormat="false" ht="15" hidden="false" customHeight="false" outlineLevel="0" collapsed="false">
      <c r="A505" s="199"/>
      <c r="B505" s="199"/>
      <c r="C505" s="199"/>
      <c r="D505" s="199"/>
      <c r="E505" s="199"/>
      <c r="F505" s="205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</row>
    <row r="506" customFormat="false" ht="15" hidden="false" customHeight="false" outlineLevel="0" collapsed="false">
      <c r="A506" s="199"/>
      <c r="B506" s="199"/>
      <c r="C506" s="199"/>
      <c r="D506" s="199"/>
      <c r="E506" s="199"/>
      <c r="F506" s="205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</row>
    <row r="507" customFormat="false" ht="15" hidden="false" customHeight="false" outlineLevel="0" collapsed="false">
      <c r="A507" s="199"/>
      <c r="B507" s="199"/>
      <c r="C507" s="199"/>
      <c r="D507" s="199"/>
      <c r="E507" s="199"/>
      <c r="F507" s="205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</row>
    <row r="508" customFormat="false" ht="15" hidden="false" customHeight="false" outlineLevel="0" collapsed="false">
      <c r="A508" s="199"/>
      <c r="B508" s="199"/>
      <c r="C508" s="199"/>
      <c r="D508" s="199"/>
      <c r="E508" s="199"/>
      <c r="F508" s="205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</row>
    <row r="509" customFormat="false" ht="15" hidden="false" customHeight="false" outlineLevel="0" collapsed="false">
      <c r="A509" s="199"/>
      <c r="B509" s="199"/>
      <c r="C509" s="199"/>
      <c r="D509" s="199"/>
      <c r="E509" s="199"/>
      <c r="F509" s="205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</row>
    <row r="510" customFormat="false" ht="15" hidden="false" customHeight="false" outlineLevel="0" collapsed="false">
      <c r="A510" s="199"/>
      <c r="B510" s="199"/>
      <c r="C510" s="199"/>
      <c r="D510" s="199"/>
      <c r="E510" s="199"/>
      <c r="F510" s="205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</row>
    <row r="511" customFormat="false" ht="15" hidden="false" customHeight="false" outlineLevel="0" collapsed="false">
      <c r="A511" s="199"/>
      <c r="B511" s="199"/>
      <c r="C511" s="199"/>
      <c r="D511" s="199"/>
      <c r="E511" s="199"/>
      <c r="F511" s="205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</row>
    <row r="512" customFormat="false" ht="15" hidden="false" customHeight="false" outlineLevel="0" collapsed="false">
      <c r="A512" s="199"/>
      <c r="B512" s="199"/>
      <c r="C512" s="199"/>
      <c r="D512" s="199"/>
      <c r="E512" s="199"/>
      <c r="F512" s="205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</row>
    <row r="513" customFormat="false" ht="15" hidden="false" customHeight="false" outlineLevel="0" collapsed="false">
      <c r="A513" s="199"/>
      <c r="B513" s="199"/>
      <c r="C513" s="199"/>
      <c r="D513" s="199"/>
      <c r="E513" s="199"/>
      <c r="F513" s="205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</row>
    <row r="514" customFormat="false" ht="15" hidden="false" customHeight="false" outlineLevel="0" collapsed="false">
      <c r="A514" s="199"/>
      <c r="B514" s="199"/>
      <c r="C514" s="199"/>
      <c r="D514" s="199"/>
      <c r="E514" s="199"/>
      <c r="F514" s="205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</row>
    <row r="515" customFormat="false" ht="15" hidden="false" customHeight="false" outlineLevel="0" collapsed="false">
      <c r="A515" s="199"/>
      <c r="B515" s="199"/>
      <c r="C515" s="199"/>
      <c r="D515" s="199"/>
      <c r="E515" s="199"/>
      <c r="F515" s="205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</row>
    <row r="516" customFormat="false" ht="15" hidden="false" customHeight="false" outlineLevel="0" collapsed="false">
      <c r="A516" s="199"/>
      <c r="B516" s="199"/>
      <c r="C516" s="199"/>
      <c r="D516" s="199"/>
      <c r="E516" s="199"/>
      <c r="F516" s="205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</row>
    <row r="517" customFormat="false" ht="15" hidden="false" customHeight="false" outlineLevel="0" collapsed="false">
      <c r="A517" s="199"/>
      <c r="B517" s="199"/>
      <c r="C517" s="199"/>
      <c r="D517" s="199"/>
      <c r="E517" s="199"/>
      <c r="F517" s="205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</row>
    <row r="518" customFormat="false" ht="15" hidden="false" customHeight="false" outlineLevel="0" collapsed="false">
      <c r="A518" s="199"/>
      <c r="B518" s="199"/>
      <c r="C518" s="199"/>
      <c r="D518" s="199"/>
      <c r="E518" s="199"/>
      <c r="F518" s="205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</row>
    <row r="519" customFormat="false" ht="15" hidden="false" customHeight="false" outlineLevel="0" collapsed="false">
      <c r="A519" s="199"/>
      <c r="B519" s="199"/>
      <c r="C519" s="199"/>
      <c r="D519" s="199"/>
      <c r="E519" s="199"/>
      <c r="F519" s="205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</row>
    <row r="520" customFormat="false" ht="15" hidden="false" customHeight="false" outlineLevel="0" collapsed="false">
      <c r="A520" s="199"/>
      <c r="B520" s="199"/>
      <c r="C520" s="199"/>
      <c r="D520" s="199"/>
      <c r="E520" s="199"/>
      <c r="F520" s="205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</row>
    <row r="521" customFormat="false" ht="15" hidden="false" customHeight="false" outlineLevel="0" collapsed="false">
      <c r="A521" s="199"/>
      <c r="B521" s="199"/>
      <c r="C521" s="199"/>
      <c r="D521" s="199"/>
      <c r="E521" s="199"/>
      <c r="F521" s="205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</row>
    <row r="522" customFormat="false" ht="15" hidden="false" customHeight="false" outlineLevel="0" collapsed="false">
      <c r="A522" s="199"/>
      <c r="B522" s="199"/>
      <c r="C522" s="199"/>
      <c r="D522" s="199"/>
      <c r="E522" s="199"/>
      <c r="F522" s="205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</row>
    <row r="523" customFormat="false" ht="15" hidden="false" customHeight="false" outlineLevel="0" collapsed="false">
      <c r="A523" s="199"/>
      <c r="B523" s="199"/>
      <c r="C523" s="199"/>
      <c r="D523" s="199"/>
      <c r="E523" s="199"/>
      <c r="F523" s="205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</row>
    <row r="524" customFormat="false" ht="15" hidden="false" customHeight="false" outlineLevel="0" collapsed="false">
      <c r="A524" s="199"/>
      <c r="B524" s="199"/>
      <c r="C524" s="199"/>
      <c r="D524" s="199"/>
      <c r="E524" s="199"/>
      <c r="F524" s="205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</row>
    <row r="525" customFormat="false" ht="15" hidden="false" customHeight="false" outlineLevel="0" collapsed="false">
      <c r="A525" s="199"/>
      <c r="B525" s="199"/>
      <c r="C525" s="199"/>
      <c r="D525" s="199"/>
      <c r="E525" s="199"/>
      <c r="F525" s="205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</row>
    <row r="526" customFormat="false" ht="15" hidden="false" customHeight="false" outlineLevel="0" collapsed="false">
      <c r="A526" s="199"/>
      <c r="B526" s="199"/>
      <c r="C526" s="199"/>
      <c r="D526" s="199"/>
      <c r="E526" s="199"/>
      <c r="F526" s="205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</row>
    <row r="527" customFormat="false" ht="15" hidden="false" customHeight="false" outlineLevel="0" collapsed="false">
      <c r="A527" s="199"/>
      <c r="B527" s="199"/>
      <c r="C527" s="199"/>
      <c r="D527" s="199"/>
      <c r="E527" s="199"/>
      <c r="F527" s="205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</row>
    <row r="528" customFormat="false" ht="15" hidden="false" customHeight="false" outlineLevel="0" collapsed="false">
      <c r="A528" s="199"/>
      <c r="B528" s="199"/>
      <c r="C528" s="199"/>
      <c r="D528" s="199"/>
      <c r="E528" s="199"/>
      <c r="F528" s="205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</row>
    <row r="529" customFormat="false" ht="15" hidden="false" customHeight="false" outlineLevel="0" collapsed="false">
      <c r="A529" s="199"/>
      <c r="B529" s="199"/>
      <c r="C529" s="199"/>
      <c r="D529" s="199"/>
      <c r="E529" s="199"/>
      <c r="F529" s="205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</row>
    <row r="530" customFormat="false" ht="15" hidden="false" customHeight="false" outlineLevel="0" collapsed="false">
      <c r="A530" s="199"/>
      <c r="B530" s="199"/>
      <c r="C530" s="199"/>
      <c r="D530" s="199"/>
      <c r="E530" s="199"/>
      <c r="F530" s="205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</row>
    <row r="531" customFormat="false" ht="15" hidden="false" customHeight="false" outlineLevel="0" collapsed="false">
      <c r="A531" s="199"/>
      <c r="B531" s="199"/>
      <c r="C531" s="199"/>
      <c r="D531" s="199"/>
      <c r="E531" s="199"/>
      <c r="F531" s="205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</row>
    <row r="532" customFormat="false" ht="15" hidden="false" customHeight="false" outlineLevel="0" collapsed="false">
      <c r="A532" s="199"/>
      <c r="B532" s="199"/>
      <c r="C532" s="199"/>
      <c r="D532" s="199"/>
      <c r="E532" s="199"/>
      <c r="F532" s="205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</row>
    <row r="533" customFormat="false" ht="15" hidden="false" customHeight="false" outlineLevel="0" collapsed="false">
      <c r="A533" s="199"/>
      <c r="B533" s="199"/>
      <c r="C533" s="199"/>
      <c r="D533" s="199"/>
      <c r="E533" s="199"/>
      <c r="F533" s="205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</row>
    <row r="534" customFormat="false" ht="15" hidden="false" customHeight="false" outlineLevel="0" collapsed="false">
      <c r="A534" s="199"/>
      <c r="B534" s="199"/>
      <c r="C534" s="199"/>
      <c r="D534" s="199"/>
      <c r="E534" s="199"/>
      <c r="F534" s="205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</row>
    <row r="535" customFormat="false" ht="15" hidden="false" customHeight="false" outlineLevel="0" collapsed="false">
      <c r="A535" s="199"/>
      <c r="B535" s="199"/>
      <c r="C535" s="199"/>
      <c r="D535" s="199"/>
      <c r="E535" s="199"/>
      <c r="F535" s="205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</row>
    <row r="536" customFormat="false" ht="15" hidden="false" customHeight="false" outlineLevel="0" collapsed="false">
      <c r="A536" s="199"/>
      <c r="B536" s="199"/>
      <c r="C536" s="199"/>
      <c r="D536" s="199"/>
      <c r="E536" s="199"/>
      <c r="F536" s="205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</row>
    <row r="537" customFormat="false" ht="15" hidden="false" customHeight="false" outlineLevel="0" collapsed="false">
      <c r="A537" s="199"/>
      <c r="B537" s="199"/>
      <c r="C537" s="199"/>
      <c r="D537" s="199"/>
      <c r="E537" s="199"/>
      <c r="F537" s="205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</row>
    <row r="538" customFormat="false" ht="15" hidden="false" customHeight="false" outlineLevel="0" collapsed="false">
      <c r="A538" s="199"/>
      <c r="B538" s="199"/>
      <c r="C538" s="199"/>
      <c r="D538" s="199"/>
      <c r="E538" s="199"/>
      <c r="F538" s="205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</row>
    <row r="539" customFormat="false" ht="15" hidden="false" customHeight="false" outlineLevel="0" collapsed="false">
      <c r="A539" s="199"/>
      <c r="B539" s="199"/>
      <c r="C539" s="199"/>
      <c r="D539" s="199"/>
      <c r="E539" s="199"/>
      <c r="F539" s="205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</row>
    <row r="540" customFormat="false" ht="15" hidden="false" customHeight="false" outlineLevel="0" collapsed="false">
      <c r="A540" s="199"/>
      <c r="B540" s="199"/>
      <c r="C540" s="199"/>
      <c r="D540" s="199"/>
      <c r="E540" s="199"/>
      <c r="F540" s="205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</row>
    <row r="541" customFormat="false" ht="15" hidden="false" customHeight="false" outlineLevel="0" collapsed="false">
      <c r="A541" s="199"/>
      <c r="B541" s="199"/>
      <c r="C541" s="199"/>
      <c r="D541" s="199"/>
      <c r="E541" s="199"/>
      <c r="F541" s="205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</row>
    <row r="542" customFormat="false" ht="15" hidden="false" customHeight="false" outlineLevel="0" collapsed="false">
      <c r="A542" s="199"/>
      <c r="B542" s="199"/>
      <c r="C542" s="199"/>
      <c r="D542" s="199"/>
      <c r="E542" s="199"/>
      <c r="F542" s="205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</row>
    <row r="543" customFormat="false" ht="15" hidden="false" customHeight="false" outlineLevel="0" collapsed="false">
      <c r="A543" s="199"/>
      <c r="B543" s="199"/>
      <c r="C543" s="199"/>
      <c r="D543" s="199"/>
      <c r="E543" s="199"/>
      <c r="F543" s="205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</row>
    <row r="544" customFormat="false" ht="15" hidden="false" customHeight="false" outlineLevel="0" collapsed="false">
      <c r="A544" s="199"/>
      <c r="B544" s="199"/>
      <c r="C544" s="199"/>
      <c r="D544" s="199"/>
      <c r="E544" s="199"/>
      <c r="F544" s="205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</row>
    <row r="545" customFormat="false" ht="15" hidden="false" customHeight="false" outlineLevel="0" collapsed="false">
      <c r="A545" s="199"/>
      <c r="B545" s="199"/>
      <c r="C545" s="199"/>
      <c r="D545" s="199"/>
      <c r="E545" s="199"/>
      <c r="F545" s="205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</row>
    <row r="546" customFormat="false" ht="15" hidden="false" customHeight="false" outlineLevel="0" collapsed="false">
      <c r="A546" s="199"/>
      <c r="B546" s="199"/>
      <c r="C546" s="199"/>
      <c r="D546" s="199"/>
      <c r="E546" s="199"/>
      <c r="F546" s="205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</row>
    <row r="547" customFormat="false" ht="15" hidden="false" customHeight="false" outlineLevel="0" collapsed="false">
      <c r="A547" s="199"/>
      <c r="B547" s="199"/>
      <c r="C547" s="199"/>
      <c r="D547" s="199"/>
      <c r="E547" s="199"/>
      <c r="F547" s="205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</row>
    <row r="548" customFormat="false" ht="15" hidden="false" customHeight="false" outlineLevel="0" collapsed="false">
      <c r="A548" s="199"/>
      <c r="B548" s="199"/>
      <c r="C548" s="199"/>
      <c r="D548" s="199"/>
      <c r="E548" s="199"/>
      <c r="F548" s="205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</row>
    <row r="549" customFormat="false" ht="15" hidden="false" customHeight="false" outlineLevel="0" collapsed="false">
      <c r="A549" s="199"/>
      <c r="B549" s="199"/>
      <c r="C549" s="199"/>
      <c r="D549" s="199"/>
      <c r="E549" s="199"/>
      <c r="F549" s="205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</row>
    <row r="550" customFormat="false" ht="15" hidden="false" customHeight="false" outlineLevel="0" collapsed="false">
      <c r="A550" s="199"/>
      <c r="B550" s="199"/>
      <c r="C550" s="199"/>
      <c r="D550" s="199"/>
      <c r="E550" s="199"/>
      <c r="F550" s="205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</row>
    <row r="551" customFormat="false" ht="15" hidden="false" customHeight="false" outlineLevel="0" collapsed="false">
      <c r="A551" s="199"/>
      <c r="B551" s="199"/>
      <c r="C551" s="199"/>
      <c r="D551" s="199"/>
      <c r="E551" s="199"/>
      <c r="F551" s="205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</row>
    <row r="552" customFormat="false" ht="15" hidden="false" customHeight="false" outlineLevel="0" collapsed="false">
      <c r="A552" s="199"/>
      <c r="B552" s="199"/>
      <c r="C552" s="199"/>
      <c r="D552" s="199"/>
      <c r="E552" s="199"/>
      <c r="F552" s="205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</row>
    <row r="553" customFormat="false" ht="15" hidden="false" customHeight="false" outlineLevel="0" collapsed="false">
      <c r="A553" s="199"/>
      <c r="B553" s="199"/>
      <c r="C553" s="199"/>
      <c r="D553" s="199"/>
      <c r="E553" s="199"/>
      <c r="F553" s="205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</row>
    <row r="554" customFormat="false" ht="15" hidden="false" customHeight="false" outlineLevel="0" collapsed="false">
      <c r="A554" s="199"/>
      <c r="B554" s="199"/>
      <c r="C554" s="199"/>
      <c r="D554" s="199"/>
      <c r="E554" s="199"/>
      <c r="F554" s="205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</row>
    <row r="555" customFormat="false" ht="15" hidden="false" customHeight="false" outlineLevel="0" collapsed="false">
      <c r="A555" s="199"/>
      <c r="B555" s="199"/>
      <c r="C555" s="199"/>
      <c r="D555" s="199"/>
      <c r="E555" s="199"/>
      <c r="F555" s="205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</row>
    <row r="556" customFormat="false" ht="15" hidden="false" customHeight="false" outlineLevel="0" collapsed="false">
      <c r="A556" s="199"/>
      <c r="B556" s="199"/>
      <c r="C556" s="199"/>
      <c r="D556" s="199"/>
      <c r="E556" s="199"/>
      <c r="F556" s="205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</row>
    <row r="557" customFormat="false" ht="15" hidden="false" customHeight="false" outlineLevel="0" collapsed="false">
      <c r="A557" s="199"/>
      <c r="B557" s="199"/>
      <c r="C557" s="199"/>
      <c r="D557" s="199"/>
      <c r="E557" s="199"/>
      <c r="F557" s="205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</row>
    <row r="558" customFormat="false" ht="15" hidden="false" customHeight="false" outlineLevel="0" collapsed="false">
      <c r="A558" s="199"/>
      <c r="B558" s="199"/>
      <c r="C558" s="199"/>
      <c r="D558" s="199"/>
      <c r="E558" s="199"/>
      <c r="F558" s="205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</row>
    <row r="559" customFormat="false" ht="15" hidden="false" customHeight="false" outlineLevel="0" collapsed="false">
      <c r="A559" s="199"/>
      <c r="B559" s="199"/>
      <c r="C559" s="199"/>
      <c r="D559" s="199"/>
      <c r="E559" s="199"/>
      <c r="F559" s="205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</row>
    <row r="560" customFormat="false" ht="15" hidden="false" customHeight="false" outlineLevel="0" collapsed="false">
      <c r="A560" s="199"/>
      <c r="B560" s="199"/>
      <c r="C560" s="199"/>
      <c r="D560" s="199"/>
      <c r="E560" s="199"/>
      <c r="F560" s="205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</row>
    <row r="561" customFormat="false" ht="15" hidden="false" customHeight="false" outlineLevel="0" collapsed="false">
      <c r="A561" s="199"/>
      <c r="B561" s="199"/>
      <c r="C561" s="199"/>
      <c r="D561" s="199"/>
      <c r="E561" s="199"/>
      <c r="F561" s="205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</row>
    <row r="562" customFormat="false" ht="15" hidden="false" customHeight="false" outlineLevel="0" collapsed="false">
      <c r="A562" s="199"/>
      <c r="B562" s="199"/>
      <c r="C562" s="199"/>
      <c r="D562" s="199"/>
      <c r="E562" s="199"/>
      <c r="F562" s="205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</row>
    <row r="563" customFormat="false" ht="15" hidden="false" customHeight="false" outlineLevel="0" collapsed="false">
      <c r="A563" s="199"/>
      <c r="B563" s="199"/>
      <c r="C563" s="199"/>
      <c r="D563" s="199"/>
      <c r="E563" s="199"/>
      <c r="F563" s="205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</row>
    <row r="564" customFormat="false" ht="15" hidden="false" customHeight="false" outlineLevel="0" collapsed="false">
      <c r="A564" s="199"/>
      <c r="B564" s="199"/>
      <c r="C564" s="199"/>
      <c r="D564" s="199"/>
      <c r="E564" s="199"/>
      <c r="F564" s="205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</row>
    <row r="565" customFormat="false" ht="15" hidden="false" customHeight="false" outlineLevel="0" collapsed="false">
      <c r="A565" s="199"/>
      <c r="B565" s="199"/>
      <c r="C565" s="199"/>
      <c r="D565" s="199"/>
      <c r="E565" s="199"/>
      <c r="F565" s="205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</row>
    <row r="566" customFormat="false" ht="15" hidden="false" customHeight="false" outlineLevel="0" collapsed="false">
      <c r="A566" s="199"/>
      <c r="B566" s="199"/>
      <c r="C566" s="199"/>
      <c r="D566" s="199"/>
      <c r="E566" s="199"/>
      <c r="F566" s="205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</row>
    <row r="567" customFormat="false" ht="15" hidden="false" customHeight="false" outlineLevel="0" collapsed="false">
      <c r="A567" s="199"/>
      <c r="B567" s="199"/>
      <c r="C567" s="199"/>
      <c r="D567" s="199"/>
      <c r="E567" s="199"/>
      <c r="F567" s="205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</row>
    <row r="568" customFormat="false" ht="15" hidden="false" customHeight="false" outlineLevel="0" collapsed="false">
      <c r="A568" s="199"/>
      <c r="B568" s="199"/>
      <c r="C568" s="199"/>
      <c r="D568" s="199"/>
      <c r="E568" s="199"/>
      <c r="F568" s="205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</row>
    <row r="569" customFormat="false" ht="15" hidden="false" customHeight="false" outlineLevel="0" collapsed="false">
      <c r="A569" s="199"/>
      <c r="B569" s="199"/>
      <c r="C569" s="199"/>
      <c r="D569" s="199"/>
      <c r="E569" s="199"/>
      <c r="F569" s="205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</row>
    <row r="570" customFormat="false" ht="15" hidden="false" customHeight="false" outlineLevel="0" collapsed="false">
      <c r="A570" s="199"/>
      <c r="B570" s="199"/>
      <c r="C570" s="199"/>
      <c r="D570" s="199"/>
      <c r="E570" s="199"/>
      <c r="F570" s="205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</row>
    <row r="571" customFormat="false" ht="15" hidden="false" customHeight="false" outlineLevel="0" collapsed="false">
      <c r="A571" s="199"/>
      <c r="B571" s="199"/>
      <c r="C571" s="199"/>
      <c r="D571" s="199"/>
      <c r="E571" s="199"/>
      <c r="F571" s="205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</row>
    <row r="572" customFormat="false" ht="15" hidden="false" customHeight="false" outlineLevel="0" collapsed="false">
      <c r="A572" s="199"/>
      <c r="B572" s="199"/>
      <c r="C572" s="199"/>
      <c r="D572" s="199"/>
      <c r="E572" s="199"/>
      <c r="F572" s="205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</row>
    <row r="573" customFormat="false" ht="15" hidden="false" customHeight="false" outlineLevel="0" collapsed="false">
      <c r="A573" s="199"/>
      <c r="B573" s="199"/>
      <c r="C573" s="199"/>
      <c r="D573" s="199"/>
      <c r="E573" s="199"/>
      <c r="F573" s="205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</row>
    <row r="574" customFormat="false" ht="15" hidden="false" customHeight="false" outlineLevel="0" collapsed="false">
      <c r="A574" s="199"/>
      <c r="B574" s="199"/>
      <c r="C574" s="199"/>
      <c r="D574" s="199"/>
      <c r="E574" s="199"/>
      <c r="F574" s="205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</row>
    <row r="575" customFormat="false" ht="15" hidden="false" customHeight="false" outlineLevel="0" collapsed="false">
      <c r="A575" s="199"/>
      <c r="B575" s="199"/>
      <c r="C575" s="199"/>
      <c r="D575" s="199"/>
      <c r="E575" s="199"/>
      <c r="F575" s="205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</row>
    <row r="576" customFormat="false" ht="15" hidden="false" customHeight="false" outlineLevel="0" collapsed="false">
      <c r="A576" s="199"/>
      <c r="B576" s="199"/>
      <c r="C576" s="199"/>
      <c r="D576" s="199"/>
      <c r="E576" s="199"/>
      <c r="F576" s="205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</row>
    <row r="577" customFormat="false" ht="15" hidden="false" customHeight="false" outlineLevel="0" collapsed="false">
      <c r="A577" s="199"/>
      <c r="B577" s="199"/>
      <c r="C577" s="199"/>
      <c r="D577" s="199"/>
      <c r="E577" s="199"/>
      <c r="F577" s="205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</row>
    <row r="578" customFormat="false" ht="15" hidden="false" customHeight="false" outlineLevel="0" collapsed="false">
      <c r="A578" s="199"/>
      <c r="B578" s="199"/>
      <c r="C578" s="199"/>
      <c r="D578" s="199"/>
      <c r="E578" s="199"/>
      <c r="F578" s="205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</row>
    <row r="579" customFormat="false" ht="15" hidden="false" customHeight="false" outlineLevel="0" collapsed="false">
      <c r="A579" s="199"/>
      <c r="B579" s="199"/>
      <c r="C579" s="199"/>
      <c r="D579" s="199"/>
      <c r="E579" s="199"/>
      <c r="F579" s="205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</row>
    <row r="580" customFormat="false" ht="15" hidden="false" customHeight="false" outlineLevel="0" collapsed="false">
      <c r="A580" s="199"/>
      <c r="B580" s="199"/>
      <c r="C580" s="199"/>
      <c r="D580" s="199"/>
      <c r="E580" s="199"/>
      <c r="F580" s="205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</row>
    <row r="581" customFormat="false" ht="15" hidden="false" customHeight="false" outlineLevel="0" collapsed="false">
      <c r="A581" s="199"/>
      <c r="B581" s="199"/>
      <c r="C581" s="199"/>
      <c r="D581" s="199"/>
      <c r="E581" s="199"/>
      <c r="F581" s="205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</row>
    <row r="582" customFormat="false" ht="15" hidden="false" customHeight="false" outlineLevel="0" collapsed="false">
      <c r="A582" s="199"/>
      <c r="B582" s="199"/>
      <c r="C582" s="199"/>
      <c r="D582" s="199"/>
      <c r="E582" s="199"/>
      <c r="F582" s="205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</row>
    <row r="583" customFormat="false" ht="15" hidden="false" customHeight="false" outlineLevel="0" collapsed="false">
      <c r="A583" s="199"/>
      <c r="B583" s="199"/>
      <c r="C583" s="199"/>
      <c r="D583" s="199"/>
      <c r="E583" s="199"/>
      <c r="F583" s="205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</row>
    <row r="584" customFormat="false" ht="15" hidden="false" customHeight="false" outlineLevel="0" collapsed="false">
      <c r="A584" s="199"/>
      <c r="B584" s="199"/>
      <c r="C584" s="199"/>
      <c r="D584" s="199"/>
      <c r="E584" s="199"/>
      <c r="F584" s="205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</row>
    <row r="585" customFormat="false" ht="15" hidden="false" customHeight="false" outlineLevel="0" collapsed="false">
      <c r="A585" s="199"/>
      <c r="B585" s="199"/>
      <c r="C585" s="199"/>
      <c r="D585" s="199"/>
      <c r="E585" s="199"/>
      <c r="F585" s="205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</row>
    <row r="586" customFormat="false" ht="15" hidden="false" customHeight="false" outlineLevel="0" collapsed="false">
      <c r="A586" s="199"/>
      <c r="B586" s="199"/>
      <c r="C586" s="199"/>
      <c r="D586" s="199"/>
      <c r="E586" s="199"/>
      <c r="F586" s="205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</row>
    <row r="587" customFormat="false" ht="15" hidden="false" customHeight="false" outlineLevel="0" collapsed="false">
      <c r="A587" s="199"/>
      <c r="B587" s="199"/>
      <c r="C587" s="199"/>
      <c r="D587" s="199"/>
      <c r="E587" s="199"/>
      <c r="F587" s="205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</row>
    <row r="588" customFormat="false" ht="15" hidden="false" customHeight="false" outlineLevel="0" collapsed="false">
      <c r="A588" s="199"/>
      <c r="B588" s="199"/>
      <c r="C588" s="199"/>
      <c r="D588" s="199"/>
      <c r="E588" s="199"/>
      <c r="F588" s="205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</row>
    <row r="589" customFormat="false" ht="15" hidden="false" customHeight="false" outlineLevel="0" collapsed="false">
      <c r="A589" s="199"/>
      <c r="B589" s="199"/>
      <c r="C589" s="199"/>
      <c r="D589" s="199"/>
      <c r="E589" s="199"/>
      <c r="F589" s="205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</row>
    <row r="590" customFormat="false" ht="15" hidden="false" customHeight="false" outlineLevel="0" collapsed="false">
      <c r="A590" s="199"/>
      <c r="B590" s="199"/>
      <c r="C590" s="199"/>
      <c r="D590" s="199"/>
      <c r="E590" s="199"/>
      <c r="F590" s="205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</row>
    <row r="591" customFormat="false" ht="15" hidden="false" customHeight="false" outlineLevel="0" collapsed="false">
      <c r="A591" s="199"/>
      <c r="B591" s="199"/>
      <c r="C591" s="199"/>
      <c r="D591" s="199"/>
      <c r="E591" s="199"/>
      <c r="F591" s="205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</row>
    <row r="592" customFormat="false" ht="15" hidden="false" customHeight="false" outlineLevel="0" collapsed="false">
      <c r="A592" s="199"/>
      <c r="B592" s="199"/>
      <c r="C592" s="199"/>
      <c r="D592" s="199"/>
      <c r="E592" s="199"/>
      <c r="F592" s="205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</row>
    <row r="593" customFormat="false" ht="15" hidden="false" customHeight="false" outlineLevel="0" collapsed="false">
      <c r="A593" s="199"/>
      <c r="B593" s="199"/>
      <c r="C593" s="199"/>
      <c r="D593" s="199"/>
      <c r="E593" s="199"/>
      <c r="F593" s="205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</row>
    <row r="594" customFormat="false" ht="15" hidden="false" customHeight="false" outlineLevel="0" collapsed="false">
      <c r="A594" s="199"/>
      <c r="B594" s="199"/>
      <c r="C594" s="199"/>
      <c r="D594" s="199"/>
      <c r="E594" s="199"/>
      <c r="F594" s="205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</row>
    <row r="595" customFormat="false" ht="15" hidden="false" customHeight="false" outlineLevel="0" collapsed="false">
      <c r="A595" s="199"/>
      <c r="B595" s="199"/>
      <c r="C595" s="199"/>
      <c r="D595" s="199"/>
      <c r="E595" s="199"/>
      <c r="F595" s="205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</row>
    <row r="596" customFormat="false" ht="15" hidden="false" customHeight="false" outlineLevel="0" collapsed="false">
      <c r="A596" s="199"/>
      <c r="B596" s="199"/>
      <c r="C596" s="199"/>
      <c r="D596" s="199"/>
      <c r="E596" s="199"/>
      <c r="F596" s="205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</row>
    <row r="597" customFormat="false" ht="15" hidden="false" customHeight="false" outlineLevel="0" collapsed="false">
      <c r="A597" s="199"/>
      <c r="B597" s="199"/>
      <c r="C597" s="199"/>
      <c r="D597" s="199"/>
      <c r="E597" s="199"/>
      <c r="F597" s="205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</row>
    <row r="598" customFormat="false" ht="15" hidden="false" customHeight="false" outlineLevel="0" collapsed="false">
      <c r="A598" s="199"/>
      <c r="B598" s="199"/>
      <c r="C598" s="199"/>
      <c r="D598" s="199"/>
      <c r="E598" s="199"/>
      <c r="F598" s="205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</row>
    <row r="599" customFormat="false" ht="15" hidden="false" customHeight="false" outlineLevel="0" collapsed="false">
      <c r="A599" s="199"/>
      <c r="B599" s="199"/>
      <c r="C599" s="199"/>
      <c r="D599" s="199"/>
      <c r="E599" s="199"/>
      <c r="F599" s="205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</row>
    <row r="600" customFormat="false" ht="15" hidden="false" customHeight="false" outlineLevel="0" collapsed="false">
      <c r="A600" s="199"/>
      <c r="B600" s="199"/>
      <c r="C600" s="199"/>
      <c r="D600" s="199"/>
      <c r="E600" s="199"/>
      <c r="F600" s="205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</row>
    <row r="601" customFormat="false" ht="15" hidden="false" customHeight="false" outlineLevel="0" collapsed="false">
      <c r="A601" s="199"/>
      <c r="B601" s="199"/>
      <c r="C601" s="199"/>
      <c r="D601" s="199"/>
      <c r="E601" s="199"/>
      <c r="F601" s="205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</row>
    <row r="602" customFormat="false" ht="15" hidden="false" customHeight="false" outlineLevel="0" collapsed="false">
      <c r="A602" s="199"/>
      <c r="B602" s="199"/>
      <c r="C602" s="199"/>
      <c r="D602" s="199"/>
      <c r="E602" s="199"/>
      <c r="F602" s="205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</row>
    <row r="603" customFormat="false" ht="15" hidden="false" customHeight="false" outlineLevel="0" collapsed="false">
      <c r="A603" s="199"/>
      <c r="B603" s="199"/>
      <c r="C603" s="199"/>
      <c r="D603" s="199"/>
      <c r="E603" s="199"/>
      <c r="F603" s="205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</row>
    <row r="604" customFormat="false" ht="15" hidden="false" customHeight="false" outlineLevel="0" collapsed="false">
      <c r="A604" s="199"/>
      <c r="B604" s="199"/>
      <c r="C604" s="199"/>
      <c r="D604" s="199"/>
      <c r="E604" s="199"/>
      <c r="F604" s="205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</row>
    <row r="605" customFormat="false" ht="15" hidden="false" customHeight="false" outlineLevel="0" collapsed="false">
      <c r="A605" s="199"/>
      <c r="B605" s="199"/>
      <c r="C605" s="199"/>
      <c r="D605" s="199"/>
      <c r="E605" s="199"/>
      <c r="F605" s="205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</row>
    <row r="606" customFormat="false" ht="15" hidden="false" customHeight="false" outlineLevel="0" collapsed="false">
      <c r="A606" s="199"/>
      <c r="B606" s="199"/>
      <c r="C606" s="199"/>
      <c r="D606" s="199"/>
      <c r="E606" s="199"/>
      <c r="F606" s="205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</row>
    <row r="607" customFormat="false" ht="15" hidden="false" customHeight="false" outlineLevel="0" collapsed="false">
      <c r="A607" s="199"/>
      <c r="B607" s="199"/>
      <c r="C607" s="199"/>
      <c r="D607" s="199"/>
      <c r="E607" s="199"/>
      <c r="F607" s="205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</row>
    <row r="608" customFormat="false" ht="15" hidden="false" customHeight="false" outlineLevel="0" collapsed="false">
      <c r="A608" s="199"/>
      <c r="B608" s="199"/>
      <c r="C608" s="199"/>
      <c r="D608" s="199"/>
      <c r="E608" s="199"/>
      <c r="F608" s="205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</row>
    <row r="609" customFormat="false" ht="15" hidden="false" customHeight="false" outlineLevel="0" collapsed="false">
      <c r="A609" s="199"/>
      <c r="B609" s="199"/>
      <c r="C609" s="199"/>
      <c r="D609" s="199"/>
      <c r="E609" s="199"/>
      <c r="F609" s="205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</row>
    <row r="610" customFormat="false" ht="15" hidden="false" customHeight="false" outlineLevel="0" collapsed="false">
      <c r="A610" s="199"/>
      <c r="B610" s="199"/>
      <c r="C610" s="199"/>
      <c r="D610" s="199"/>
      <c r="E610" s="199"/>
      <c r="F610" s="205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</row>
    <row r="611" customFormat="false" ht="15" hidden="false" customHeight="false" outlineLevel="0" collapsed="false">
      <c r="A611" s="199"/>
      <c r="B611" s="199"/>
      <c r="C611" s="199"/>
      <c r="D611" s="199"/>
      <c r="E611" s="199"/>
      <c r="F611" s="205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</row>
    <row r="612" customFormat="false" ht="15" hidden="false" customHeight="false" outlineLevel="0" collapsed="false">
      <c r="A612" s="199"/>
      <c r="B612" s="199"/>
      <c r="C612" s="199"/>
      <c r="D612" s="199"/>
      <c r="E612" s="199"/>
      <c r="F612" s="205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</row>
    <row r="613" customFormat="false" ht="15" hidden="false" customHeight="false" outlineLevel="0" collapsed="false">
      <c r="A613" s="199"/>
      <c r="B613" s="199"/>
      <c r="C613" s="199"/>
      <c r="D613" s="199"/>
      <c r="E613" s="199"/>
      <c r="F613" s="205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</row>
    <row r="614" customFormat="false" ht="15" hidden="false" customHeight="false" outlineLevel="0" collapsed="false">
      <c r="A614" s="199"/>
      <c r="B614" s="199"/>
      <c r="C614" s="199"/>
      <c r="D614" s="199"/>
      <c r="E614" s="199"/>
      <c r="F614" s="205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</row>
    <row r="615" customFormat="false" ht="15" hidden="false" customHeight="false" outlineLevel="0" collapsed="false">
      <c r="A615" s="199"/>
      <c r="B615" s="199"/>
      <c r="C615" s="199"/>
      <c r="D615" s="199"/>
      <c r="E615" s="199"/>
      <c r="F615" s="205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</row>
    <row r="616" customFormat="false" ht="15" hidden="false" customHeight="false" outlineLevel="0" collapsed="false">
      <c r="A616" s="199"/>
      <c r="B616" s="199"/>
      <c r="C616" s="199"/>
      <c r="D616" s="199"/>
      <c r="E616" s="199"/>
      <c r="F616" s="205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</row>
    <row r="617" customFormat="false" ht="15" hidden="false" customHeight="false" outlineLevel="0" collapsed="false">
      <c r="A617" s="199"/>
      <c r="B617" s="199"/>
      <c r="C617" s="199"/>
      <c r="D617" s="199"/>
      <c r="E617" s="199"/>
      <c r="F617" s="205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</row>
    <row r="618" customFormat="false" ht="15" hidden="false" customHeight="false" outlineLevel="0" collapsed="false">
      <c r="A618" s="199"/>
      <c r="B618" s="199"/>
      <c r="C618" s="199"/>
      <c r="D618" s="199"/>
      <c r="E618" s="199"/>
      <c r="F618" s="205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</row>
    <row r="619" customFormat="false" ht="15" hidden="false" customHeight="false" outlineLevel="0" collapsed="false">
      <c r="A619" s="199"/>
      <c r="B619" s="199"/>
      <c r="C619" s="199"/>
      <c r="D619" s="199"/>
      <c r="E619" s="199"/>
      <c r="F619" s="205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</row>
    <row r="620" customFormat="false" ht="15" hidden="false" customHeight="false" outlineLevel="0" collapsed="false">
      <c r="A620" s="199"/>
      <c r="B620" s="199"/>
      <c r="C620" s="199"/>
      <c r="D620" s="199"/>
      <c r="E620" s="199"/>
      <c r="F620" s="205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</row>
    <row r="621" customFormat="false" ht="15" hidden="false" customHeight="false" outlineLevel="0" collapsed="false">
      <c r="A621" s="199"/>
      <c r="B621" s="199"/>
      <c r="C621" s="199"/>
      <c r="D621" s="199"/>
      <c r="E621" s="199"/>
      <c r="F621" s="205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</row>
    <row r="622" customFormat="false" ht="15" hidden="false" customHeight="false" outlineLevel="0" collapsed="false">
      <c r="A622" s="199"/>
      <c r="B622" s="199"/>
      <c r="C622" s="199"/>
      <c r="D622" s="199"/>
      <c r="E622" s="199"/>
      <c r="F622" s="205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</row>
    <row r="623" customFormat="false" ht="15" hidden="false" customHeight="false" outlineLevel="0" collapsed="false">
      <c r="A623" s="199"/>
      <c r="B623" s="199"/>
      <c r="C623" s="199"/>
      <c r="D623" s="199"/>
      <c r="E623" s="199"/>
      <c r="F623" s="205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</row>
    <row r="624" customFormat="false" ht="15" hidden="false" customHeight="false" outlineLevel="0" collapsed="false">
      <c r="A624" s="199"/>
      <c r="B624" s="199"/>
      <c r="C624" s="199"/>
      <c r="D624" s="199"/>
      <c r="E624" s="199"/>
      <c r="F624" s="205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</row>
    <row r="625" customFormat="false" ht="15" hidden="false" customHeight="false" outlineLevel="0" collapsed="false">
      <c r="A625" s="199"/>
      <c r="B625" s="199"/>
      <c r="C625" s="199"/>
      <c r="D625" s="199"/>
      <c r="E625" s="199"/>
      <c r="F625" s="205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</row>
    <row r="626" customFormat="false" ht="15" hidden="false" customHeight="false" outlineLevel="0" collapsed="false">
      <c r="A626" s="199"/>
      <c r="B626" s="199"/>
      <c r="C626" s="199"/>
      <c r="D626" s="199"/>
      <c r="E626" s="199"/>
      <c r="F626" s="205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</row>
    <row r="627" customFormat="false" ht="15" hidden="false" customHeight="false" outlineLevel="0" collapsed="false">
      <c r="A627" s="199"/>
      <c r="B627" s="199"/>
      <c r="C627" s="199"/>
      <c r="D627" s="199"/>
      <c r="E627" s="199"/>
      <c r="F627" s="205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</row>
    <row r="628" customFormat="false" ht="15" hidden="false" customHeight="false" outlineLevel="0" collapsed="false">
      <c r="A628" s="199"/>
      <c r="B628" s="199"/>
      <c r="C628" s="199"/>
      <c r="D628" s="199"/>
      <c r="E628" s="199"/>
      <c r="F628" s="205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</row>
    <row r="629" customFormat="false" ht="15" hidden="false" customHeight="false" outlineLevel="0" collapsed="false">
      <c r="A629" s="199"/>
      <c r="B629" s="199"/>
      <c r="C629" s="199"/>
      <c r="D629" s="199"/>
      <c r="E629" s="199"/>
      <c r="F629" s="205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</row>
    <row r="630" customFormat="false" ht="15" hidden="false" customHeight="false" outlineLevel="0" collapsed="false">
      <c r="A630" s="199"/>
      <c r="B630" s="199"/>
      <c r="C630" s="199"/>
      <c r="D630" s="199"/>
      <c r="E630" s="199"/>
      <c r="F630" s="205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</row>
    <row r="631" customFormat="false" ht="15" hidden="false" customHeight="false" outlineLevel="0" collapsed="false">
      <c r="A631" s="199"/>
      <c r="B631" s="199"/>
      <c r="C631" s="199"/>
      <c r="D631" s="199"/>
      <c r="E631" s="199"/>
      <c r="F631" s="205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</row>
    <row r="632" customFormat="false" ht="15" hidden="false" customHeight="false" outlineLevel="0" collapsed="false">
      <c r="A632" s="199"/>
      <c r="B632" s="199"/>
      <c r="C632" s="199"/>
      <c r="D632" s="199"/>
      <c r="E632" s="199"/>
      <c r="F632" s="205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</row>
    <row r="633" customFormat="false" ht="15" hidden="false" customHeight="false" outlineLevel="0" collapsed="false">
      <c r="A633" s="199"/>
      <c r="B633" s="199"/>
      <c r="C633" s="199"/>
      <c r="D633" s="199"/>
      <c r="E633" s="199"/>
      <c r="F633" s="205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</row>
    <row r="634" customFormat="false" ht="15" hidden="false" customHeight="false" outlineLevel="0" collapsed="false">
      <c r="A634" s="199"/>
      <c r="B634" s="199"/>
      <c r="C634" s="199"/>
      <c r="D634" s="199"/>
      <c r="E634" s="199"/>
      <c r="F634" s="205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</row>
    <row r="635" customFormat="false" ht="15" hidden="false" customHeight="false" outlineLevel="0" collapsed="false">
      <c r="A635" s="199"/>
      <c r="B635" s="199"/>
      <c r="C635" s="199"/>
      <c r="D635" s="199"/>
      <c r="E635" s="199"/>
      <c r="F635" s="205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</row>
    <row r="636" customFormat="false" ht="15" hidden="false" customHeight="false" outlineLevel="0" collapsed="false">
      <c r="A636" s="199"/>
      <c r="B636" s="199"/>
      <c r="C636" s="199"/>
      <c r="D636" s="199"/>
      <c r="E636" s="199"/>
      <c r="F636" s="205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</row>
    <row r="637" customFormat="false" ht="15" hidden="false" customHeight="false" outlineLevel="0" collapsed="false">
      <c r="A637" s="199"/>
      <c r="B637" s="199"/>
      <c r="C637" s="199"/>
      <c r="D637" s="199"/>
      <c r="E637" s="199"/>
      <c r="F637" s="205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</row>
    <row r="638" customFormat="false" ht="15" hidden="false" customHeight="false" outlineLevel="0" collapsed="false">
      <c r="A638" s="199"/>
      <c r="B638" s="199"/>
      <c r="C638" s="199"/>
      <c r="D638" s="199"/>
      <c r="E638" s="199"/>
      <c r="F638" s="205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</row>
    <row r="639" customFormat="false" ht="15" hidden="false" customHeight="false" outlineLevel="0" collapsed="false">
      <c r="A639" s="199"/>
      <c r="B639" s="199"/>
      <c r="C639" s="199"/>
      <c r="D639" s="199"/>
      <c r="E639" s="199"/>
      <c r="F639" s="205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</row>
    <row r="640" customFormat="false" ht="15" hidden="false" customHeight="false" outlineLevel="0" collapsed="false">
      <c r="A640" s="199"/>
      <c r="B640" s="199"/>
      <c r="C640" s="199"/>
      <c r="D640" s="199"/>
      <c r="E640" s="199"/>
      <c r="F640" s="205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</row>
    <row r="641" customFormat="false" ht="15" hidden="false" customHeight="false" outlineLevel="0" collapsed="false">
      <c r="A641" s="199"/>
      <c r="B641" s="199"/>
      <c r="C641" s="199"/>
      <c r="D641" s="199"/>
      <c r="E641" s="199"/>
      <c r="F641" s="205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</row>
    <row r="642" customFormat="false" ht="15" hidden="false" customHeight="false" outlineLevel="0" collapsed="false">
      <c r="A642" s="199"/>
      <c r="B642" s="199"/>
      <c r="C642" s="199"/>
      <c r="D642" s="199"/>
      <c r="E642" s="199"/>
      <c r="F642" s="205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</row>
    <row r="643" customFormat="false" ht="15" hidden="false" customHeight="false" outlineLevel="0" collapsed="false">
      <c r="A643" s="199"/>
      <c r="B643" s="199"/>
      <c r="C643" s="199"/>
      <c r="D643" s="199"/>
      <c r="E643" s="199"/>
      <c r="F643" s="205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</row>
    <row r="644" customFormat="false" ht="15" hidden="false" customHeight="false" outlineLevel="0" collapsed="false">
      <c r="A644" s="199"/>
      <c r="B644" s="199"/>
      <c r="C644" s="199"/>
      <c r="D644" s="199"/>
      <c r="E644" s="199"/>
      <c r="F644" s="205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</row>
    <row r="645" customFormat="false" ht="15" hidden="false" customHeight="false" outlineLevel="0" collapsed="false">
      <c r="A645" s="199"/>
      <c r="B645" s="199"/>
      <c r="C645" s="199"/>
      <c r="D645" s="199"/>
      <c r="E645" s="199"/>
      <c r="F645" s="205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</row>
    <row r="646" customFormat="false" ht="15" hidden="false" customHeight="false" outlineLevel="0" collapsed="false">
      <c r="A646" s="199"/>
      <c r="B646" s="199"/>
      <c r="C646" s="199"/>
      <c r="D646" s="199"/>
      <c r="E646" s="199"/>
      <c r="F646" s="205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</row>
    <row r="647" customFormat="false" ht="15" hidden="false" customHeight="false" outlineLevel="0" collapsed="false">
      <c r="A647" s="199"/>
      <c r="B647" s="199"/>
      <c r="C647" s="199"/>
      <c r="D647" s="199"/>
      <c r="E647" s="199"/>
      <c r="F647" s="205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</row>
    <row r="648" customFormat="false" ht="15" hidden="false" customHeight="false" outlineLevel="0" collapsed="false">
      <c r="A648" s="199"/>
      <c r="B648" s="199"/>
      <c r="C648" s="199"/>
      <c r="D648" s="199"/>
      <c r="E648" s="199"/>
      <c r="F648" s="205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</row>
    <row r="649" customFormat="false" ht="15" hidden="false" customHeight="false" outlineLevel="0" collapsed="false">
      <c r="A649" s="199"/>
      <c r="B649" s="199"/>
      <c r="C649" s="199"/>
      <c r="D649" s="199"/>
      <c r="E649" s="199"/>
      <c r="F649" s="205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</row>
    <row r="650" customFormat="false" ht="15" hidden="false" customHeight="false" outlineLevel="0" collapsed="false">
      <c r="A650" s="199"/>
      <c r="B650" s="199"/>
      <c r="C650" s="199"/>
      <c r="D650" s="199"/>
      <c r="E650" s="199"/>
      <c r="F650" s="205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</row>
    <row r="651" customFormat="false" ht="15" hidden="false" customHeight="false" outlineLevel="0" collapsed="false">
      <c r="A651" s="199"/>
      <c r="B651" s="199"/>
      <c r="C651" s="199"/>
      <c r="D651" s="199"/>
      <c r="E651" s="199"/>
      <c r="F651" s="205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</row>
    <row r="652" customFormat="false" ht="15" hidden="false" customHeight="false" outlineLevel="0" collapsed="false">
      <c r="A652" s="199"/>
      <c r="B652" s="199"/>
      <c r="C652" s="199"/>
      <c r="D652" s="199"/>
      <c r="E652" s="199"/>
      <c r="F652" s="205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</row>
    <row r="653" customFormat="false" ht="15" hidden="false" customHeight="false" outlineLevel="0" collapsed="false">
      <c r="A653" s="199"/>
      <c r="B653" s="199"/>
      <c r="C653" s="199"/>
      <c r="D653" s="199"/>
      <c r="E653" s="199"/>
      <c r="F653" s="205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</row>
    <row r="654" customFormat="false" ht="15" hidden="false" customHeight="false" outlineLevel="0" collapsed="false">
      <c r="A654" s="199"/>
      <c r="B654" s="199"/>
      <c r="C654" s="199"/>
      <c r="D654" s="199"/>
      <c r="E654" s="199"/>
      <c r="F654" s="205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</row>
    <row r="655" customFormat="false" ht="15" hidden="false" customHeight="false" outlineLevel="0" collapsed="false">
      <c r="A655" s="199"/>
      <c r="B655" s="199"/>
      <c r="C655" s="199"/>
      <c r="D655" s="199"/>
      <c r="E655" s="199"/>
      <c r="F655" s="205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</row>
    <row r="656" customFormat="false" ht="15" hidden="false" customHeight="false" outlineLevel="0" collapsed="false">
      <c r="A656" s="199"/>
      <c r="B656" s="199"/>
      <c r="C656" s="199"/>
      <c r="D656" s="199"/>
      <c r="E656" s="199"/>
      <c r="F656" s="205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</row>
    <row r="657" customFormat="false" ht="15" hidden="false" customHeight="false" outlineLevel="0" collapsed="false">
      <c r="A657" s="199"/>
      <c r="B657" s="199"/>
      <c r="C657" s="199"/>
      <c r="D657" s="199"/>
      <c r="E657" s="199"/>
      <c r="F657" s="205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</row>
    <row r="658" customFormat="false" ht="15" hidden="false" customHeight="false" outlineLevel="0" collapsed="false">
      <c r="A658" s="199"/>
      <c r="B658" s="199"/>
      <c r="C658" s="199"/>
      <c r="D658" s="199"/>
      <c r="E658" s="199"/>
      <c r="F658" s="205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</row>
    <row r="659" customFormat="false" ht="15" hidden="false" customHeight="false" outlineLevel="0" collapsed="false">
      <c r="A659" s="199"/>
      <c r="B659" s="199"/>
      <c r="C659" s="199"/>
      <c r="D659" s="199"/>
      <c r="E659" s="199"/>
      <c r="F659" s="205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</row>
    <row r="660" customFormat="false" ht="15" hidden="false" customHeight="false" outlineLevel="0" collapsed="false">
      <c r="A660" s="199"/>
      <c r="B660" s="199"/>
      <c r="C660" s="199"/>
      <c r="D660" s="199"/>
      <c r="E660" s="199"/>
      <c r="F660" s="205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</row>
    <row r="661" customFormat="false" ht="15" hidden="false" customHeight="false" outlineLevel="0" collapsed="false">
      <c r="A661" s="199"/>
      <c r="B661" s="199"/>
      <c r="C661" s="199"/>
      <c r="D661" s="199"/>
      <c r="E661" s="199"/>
      <c r="F661" s="205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</row>
    <row r="662" customFormat="false" ht="15" hidden="false" customHeight="false" outlineLevel="0" collapsed="false">
      <c r="A662" s="199"/>
      <c r="B662" s="199"/>
      <c r="C662" s="199"/>
      <c r="D662" s="199"/>
      <c r="E662" s="199"/>
      <c r="F662" s="205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</row>
    <row r="663" customFormat="false" ht="15" hidden="false" customHeight="false" outlineLevel="0" collapsed="false">
      <c r="A663" s="199"/>
      <c r="B663" s="199"/>
      <c r="C663" s="199"/>
      <c r="D663" s="199"/>
      <c r="E663" s="199"/>
      <c r="F663" s="205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</row>
    <row r="664" customFormat="false" ht="15" hidden="false" customHeight="false" outlineLevel="0" collapsed="false">
      <c r="A664" s="199"/>
      <c r="B664" s="199"/>
      <c r="C664" s="199"/>
      <c r="D664" s="199"/>
      <c r="E664" s="199"/>
      <c r="F664" s="205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</row>
    <row r="665" customFormat="false" ht="15" hidden="false" customHeight="false" outlineLevel="0" collapsed="false">
      <c r="A665" s="199"/>
      <c r="B665" s="199"/>
      <c r="C665" s="199"/>
      <c r="D665" s="199"/>
      <c r="E665" s="199"/>
      <c r="F665" s="205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</row>
    <row r="666" customFormat="false" ht="15" hidden="false" customHeight="false" outlineLevel="0" collapsed="false">
      <c r="A666" s="199"/>
      <c r="B666" s="199"/>
      <c r="C666" s="199"/>
      <c r="D666" s="199"/>
      <c r="E666" s="199"/>
      <c r="F666" s="205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</row>
    <row r="667" customFormat="false" ht="15" hidden="false" customHeight="false" outlineLevel="0" collapsed="false">
      <c r="A667" s="199"/>
      <c r="B667" s="199"/>
      <c r="C667" s="199"/>
      <c r="D667" s="199"/>
      <c r="E667" s="199"/>
      <c r="F667" s="205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</row>
    <row r="668" customFormat="false" ht="15" hidden="false" customHeight="false" outlineLevel="0" collapsed="false">
      <c r="A668" s="199"/>
      <c r="B668" s="199"/>
      <c r="C668" s="199"/>
      <c r="D668" s="199"/>
      <c r="E668" s="199"/>
      <c r="F668" s="205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</row>
    <row r="669" customFormat="false" ht="15" hidden="false" customHeight="false" outlineLevel="0" collapsed="false">
      <c r="A669" s="199"/>
      <c r="B669" s="199"/>
      <c r="C669" s="199"/>
      <c r="D669" s="199"/>
      <c r="E669" s="199"/>
      <c r="F669" s="205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</row>
    <row r="670" customFormat="false" ht="15" hidden="false" customHeight="false" outlineLevel="0" collapsed="false">
      <c r="A670" s="199"/>
      <c r="B670" s="199"/>
      <c r="C670" s="199"/>
      <c r="D670" s="199"/>
      <c r="E670" s="199"/>
      <c r="F670" s="205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</row>
    <row r="671" customFormat="false" ht="15" hidden="false" customHeight="false" outlineLevel="0" collapsed="false">
      <c r="A671" s="199"/>
      <c r="B671" s="199"/>
      <c r="C671" s="199"/>
      <c r="D671" s="199"/>
      <c r="E671" s="199"/>
      <c r="F671" s="205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</row>
    <row r="672" customFormat="false" ht="15" hidden="false" customHeight="false" outlineLevel="0" collapsed="false">
      <c r="A672" s="199"/>
      <c r="B672" s="199"/>
      <c r="C672" s="199"/>
      <c r="D672" s="199"/>
      <c r="E672" s="199"/>
      <c r="F672" s="205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</row>
    <row r="673" customFormat="false" ht="15" hidden="false" customHeight="false" outlineLevel="0" collapsed="false">
      <c r="A673" s="199"/>
      <c r="B673" s="199"/>
      <c r="C673" s="199"/>
      <c r="D673" s="199"/>
      <c r="E673" s="199"/>
      <c r="F673" s="205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</row>
    <row r="674" customFormat="false" ht="15" hidden="false" customHeight="false" outlineLevel="0" collapsed="false">
      <c r="A674" s="199"/>
      <c r="B674" s="199"/>
      <c r="C674" s="199"/>
      <c r="D674" s="199"/>
      <c r="E674" s="199"/>
      <c r="F674" s="205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</row>
    <row r="675" customFormat="false" ht="15" hidden="false" customHeight="false" outlineLevel="0" collapsed="false">
      <c r="A675" s="199"/>
      <c r="B675" s="199"/>
      <c r="C675" s="199"/>
      <c r="D675" s="199"/>
      <c r="E675" s="199"/>
      <c r="F675" s="205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</row>
    <row r="676" customFormat="false" ht="15" hidden="false" customHeight="false" outlineLevel="0" collapsed="false">
      <c r="A676" s="199"/>
      <c r="B676" s="199"/>
      <c r="C676" s="199"/>
      <c r="D676" s="199"/>
      <c r="E676" s="199"/>
      <c r="F676" s="205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</row>
    <row r="677" customFormat="false" ht="15" hidden="false" customHeight="false" outlineLevel="0" collapsed="false">
      <c r="A677" s="199"/>
      <c r="B677" s="199"/>
      <c r="C677" s="199"/>
      <c r="D677" s="199"/>
      <c r="E677" s="199"/>
      <c r="F677" s="205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</row>
    <row r="678" customFormat="false" ht="15" hidden="false" customHeight="false" outlineLevel="0" collapsed="false">
      <c r="A678" s="199"/>
      <c r="B678" s="199"/>
      <c r="C678" s="199"/>
      <c r="D678" s="199"/>
      <c r="E678" s="199"/>
      <c r="F678" s="205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</row>
    <row r="679" customFormat="false" ht="15" hidden="false" customHeight="false" outlineLevel="0" collapsed="false">
      <c r="A679" s="199"/>
      <c r="B679" s="199"/>
      <c r="C679" s="199"/>
      <c r="D679" s="199"/>
      <c r="E679" s="199"/>
      <c r="F679" s="205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</row>
    <row r="680" customFormat="false" ht="15" hidden="false" customHeight="false" outlineLevel="0" collapsed="false">
      <c r="A680" s="199"/>
      <c r="B680" s="199"/>
      <c r="C680" s="199"/>
      <c r="D680" s="199"/>
      <c r="E680" s="199"/>
      <c r="F680" s="205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</row>
    <row r="681" customFormat="false" ht="15" hidden="false" customHeight="false" outlineLevel="0" collapsed="false">
      <c r="A681" s="199"/>
      <c r="B681" s="199"/>
      <c r="C681" s="199"/>
      <c r="D681" s="199"/>
      <c r="E681" s="199"/>
      <c r="F681" s="205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</row>
    <row r="682" customFormat="false" ht="15" hidden="false" customHeight="false" outlineLevel="0" collapsed="false">
      <c r="A682" s="199"/>
      <c r="B682" s="199"/>
      <c r="C682" s="199"/>
      <c r="D682" s="199"/>
      <c r="E682" s="199"/>
      <c r="F682" s="205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</row>
    <row r="683" customFormat="false" ht="15" hidden="false" customHeight="false" outlineLevel="0" collapsed="false">
      <c r="A683" s="199"/>
      <c r="B683" s="199"/>
      <c r="C683" s="199"/>
      <c r="D683" s="199"/>
      <c r="E683" s="199"/>
      <c r="F683" s="205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</row>
    <row r="684" customFormat="false" ht="15" hidden="false" customHeight="false" outlineLevel="0" collapsed="false">
      <c r="A684" s="199"/>
      <c r="B684" s="199"/>
      <c r="C684" s="199"/>
      <c r="D684" s="199"/>
      <c r="E684" s="199"/>
      <c r="F684" s="205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</row>
    <row r="685" customFormat="false" ht="15" hidden="false" customHeight="false" outlineLevel="0" collapsed="false">
      <c r="A685" s="199"/>
      <c r="B685" s="199"/>
      <c r="C685" s="199"/>
      <c r="D685" s="199"/>
      <c r="E685" s="199"/>
      <c r="F685" s="205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</row>
    <row r="686" customFormat="false" ht="15" hidden="false" customHeight="false" outlineLevel="0" collapsed="false">
      <c r="A686" s="199"/>
      <c r="B686" s="199"/>
      <c r="C686" s="199"/>
      <c r="D686" s="199"/>
      <c r="E686" s="199"/>
      <c r="F686" s="205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</row>
    <row r="687" customFormat="false" ht="15" hidden="false" customHeight="false" outlineLevel="0" collapsed="false">
      <c r="A687" s="199"/>
      <c r="B687" s="199"/>
      <c r="C687" s="199"/>
      <c r="D687" s="199"/>
      <c r="E687" s="199"/>
      <c r="F687" s="205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</row>
    <row r="688" customFormat="false" ht="15" hidden="false" customHeight="false" outlineLevel="0" collapsed="false">
      <c r="A688" s="199"/>
      <c r="B688" s="199"/>
      <c r="C688" s="199"/>
      <c r="D688" s="199"/>
      <c r="E688" s="199"/>
      <c r="F688" s="205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</row>
    <row r="689" customFormat="false" ht="15" hidden="false" customHeight="false" outlineLevel="0" collapsed="false">
      <c r="A689" s="199"/>
      <c r="B689" s="199"/>
      <c r="C689" s="199"/>
      <c r="D689" s="199"/>
      <c r="E689" s="199"/>
      <c r="F689" s="205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</row>
    <row r="690" customFormat="false" ht="15" hidden="false" customHeight="false" outlineLevel="0" collapsed="false">
      <c r="A690" s="199"/>
      <c r="B690" s="199"/>
      <c r="C690" s="199"/>
      <c r="D690" s="199"/>
      <c r="E690" s="199"/>
      <c r="F690" s="205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</row>
    <row r="691" customFormat="false" ht="15" hidden="false" customHeight="false" outlineLevel="0" collapsed="false">
      <c r="A691" s="199"/>
      <c r="B691" s="199"/>
      <c r="C691" s="199"/>
      <c r="D691" s="199"/>
      <c r="E691" s="199"/>
      <c r="F691" s="205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</row>
    <row r="692" customFormat="false" ht="15" hidden="false" customHeight="false" outlineLevel="0" collapsed="false">
      <c r="A692" s="199"/>
      <c r="B692" s="199"/>
      <c r="C692" s="199"/>
      <c r="D692" s="199"/>
      <c r="E692" s="199"/>
      <c r="F692" s="205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</row>
    <row r="693" customFormat="false" ht="15" hidden="false" customHeight="false" outlineLevel="0" collapsed="false">
      <c r="A693" s="199"/>
      <c r="B693" s="199"/>
      <c r="C693" s="199"/>
      <c r="D693" s="199"/>
      <c r="E693" s="199"/>
      <c r="F693" s="205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</row>
    <row r="694" customFormat="false" ht="15" hidden="false" customHeight="false" outlineLevel="0" collapsed="false">
      <c r="A694" s="199"/>
      <c r="B694" s="199"/>
      <c r="C694" s="199"/>
      <c r="D694" s="199"/>
      <c r="E694" s="199"/>
      <c r="F694" s="205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</row>
    <row r="695" customFormat="false" ht="15" hidden="false" customHeight="false" outlineLevel="0" collapsed="false">
      <c r="A695" s="199"/>
      <c r="B695" s="199"/>
      <c r="C695" s="199"/>
      <c r="D695" s="199"/>
      <c r="E695" s="199"/>
      <c r="F695" s="205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</row>
    <row r="696" customFormat="false" ht="15" hidden="false" customHeight="false" outlineLevel="0" collapsed="false">
      <c r="A696" s="199"/>
      <c r="B696" s="199"/>
      <c r="C696" s="199"/>
      <c r="D696" s="199"/>
      <c r="E696" s="199"/>
      <c r="F696" s="205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</row>
    <row r="697" customFormat="false" ht="15" hidden="false" customHeight="false" outlineLevel="0" collapsed="false">
      <c r="A697" s="199"/>
      <c r="B697" s="199"/>
      <c r="C697" s="199"/>
      <c r="D697" s="199"/>
      <c r="E697" s="199"/>
      <c r="F697" s="205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</row>
    <row r="698" customFormat="false" ht="15" hidden="false" customHeight="false" outlineLevel="0" collapsed="false">
      <c r="A698" s="199"/>
      <c r="B698" s="199"/>
      <c r="C698" s="199"/>
      <c r="D698" s="199"/>
      <c r="E698" s="199"/>
      <c r="F698" s="205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</row>
    <row r="699" customFormat="false" ht="15" hidden="false" customHeight="false" outlineLevel="0" collapsed="false">
      <c r="A699" s="199"/>
      <c r="B699" s="199"/>
      <c r="C699" s="199"/>
      <c r="D699" s="199"/>
      <c r="E699" s="199"/>
      <c r="F699" s="205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</row>
    <row r="700" customFormat="false" ht="15" hidden="false" customHeight="false" outlineLevel="0" collapsed="false">
      <c r="A700" s="199"/>
      <c r="B700" s="199"/>
      <c r="C700" s="199"/>
      <c r="D700" s="199"/>
      <c r="E700" s="199"/>
      <c r="F700" s="205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</row>
    <row r="701" customFormat="false" ht="15" hidden="false" customHeight="false" outlineLevel="0" collapsed="false">
      <c r="A701" s="199"/>
      <c r="B701" s="199"/>
      <c r="C701" s="199"/>
      <c r="D701" s="199"/>
      <c r="E701" s="199"/>
      <c r="F701" s="205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</row>
    <row r="702" customFormat="false" ht="15" hidden="false" customHeight="false" outlineLevel="0" collapsed="false">
      <c r="A702" s="199"/>
      <c r="B702" s="199"/>
      <c r="C702" s="199"/>
      <c r="D702" s="199"/>
      <c r="E702" s="199"/>
      <c r="F702" s="205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</row>
    <row r="703" customFormat="false" ht="15" hidden="false" customHeight="false" outlineLevel="0" collapsed="false">
      <c r="A703" s="199"/>
      <c r="B703" s="199"/>
      <c r="C703" s="199"/>
      <c r="D703" s="199"/>
      <c r="E703" s="199"/>
      <c r="F703" s="205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</row>
    <row r="704" customFormat="false" ht="15" hidden="false" customHeight="false" outlineLevel="0" collapsed="false">
      <c r="A704" s="199"/>
      <c r="B704" s="199"/>
      <c r="C704" s="199"/>
      <c r="D704" s="199"/>
      <c r="E704" s="199"/>
      <c r="F704" s="205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</row>
    <row r="705" customFormat="false" ht="15" hidden="false" customHeight="false" outlineLevel="0" collapsed="false">
      <c r="A705" s="199"/>
      <c r="B705" s="199"/>
      <c r="C705" s="199"/>
      <c r="D705" s="199"/>
      <c r="E705" s="199"/>
      <c r="F705" s="205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</row>
    <row r="706" customFormat="false" ht="15" hidden="false" customHeight="false" outlineLevel="0" collapsed="false">
      <c r="A706" s="199"/>
      <c r="B706" s="199"/>
      <c r="C706" s="199"/>
      <c r="D706" s="199"/>
      <c r="E706" s="199"/>
      <c r="F706" s="205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</row>
    <row r="707" customFormat="false" ht="15" hidden="false" customHeight="false" outlineLevel="0" collapsed="false">
      <c r="A707" s="199"/>
      <c r="B707" s="199"/>
      <c r="C707" s="199"/>
      <c r="D707" s="199"/>
      <c r="E707" s="199"/>
      <c r="F707" s="205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</row>
    <row r="708" customFormat="false" ht="15" hidden="false" customHeight="false" outlineLevel="0" collapsed="false">
      <c r="A708" s="199"/>
      <c r="B708" s="199"/>
      <c r="C708" s="199"/>
      <c r="D708" s="199"/>
      <c r="E708" s="199"/>
      <c r="F708" s="205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</row>
    <row r="709" customFormat="false" ht="15" hidden="false" customHeight="false" outlineLevel="0" collapsed="false">
      <c r="A709" s="199"/>
      <c r="B709" s="199"/>
      <c r="C709" s="199"/>
      <c r="D709" s="199"/>
      <c r="E709" s="199"/>
      <c r="F709" s="205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</row>
    <row r="710" customFormat="false" ht="15" hidden="false" customHeight="false" outlineLevel="0" collapsed="false">
      <c r="A710" s="199"/>
      <c r="B710" s="199"/>
      <c r="C710" s="199"/>
      <c r="D710" s="199"/>
      <c r="E710" s="199"/>
      <c r="F710" s="205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</row>
    <row r="711" customFormat="false" ht="15" hidden="false" customHeight="false" outlineLevel="0" collapsed="false">
      <c r="A711" s="199"/>
      <c r="B711" s="199"/>
      <c r="C711" s="199"/>
      <c r="D711" s="199"/>
      <c r="E711" s="199"/>
      <c r="F711" s="205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</row>
    <row r="712" customFormat="false" ht="15" hidden="false" customHeight="false" outlineLevel="0" collapsed="false">
      <c r="A712" s="199"/>
      <c r="B712" s="199"/>
      <c r="C712" s="199"/>
      <c r="D712" s="199"/>
      <c r="E712" s="199"/>
      <c r="F712" s="205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</row>
    <row r="713" customFormat="false" ht="15" hidden="false" customHeight="false" outlineLevel="0" collapsed="false">
      <c r="A713" s="199"/>
      <c r="B713" s="199"/>
      <c r="C713" s="199"/>
      <c r="D713" s="199"/>
      <c r="E713" s="199"/>
      <c r="F713" s="205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</row>
    <row r="714" customFormat="false" ht="15" hidden="false" customHeight="false" outlineLevel="0" collapsed="false">
      <c r="A714" s="199"/>
      <c r="B714" s="199"/>
      <c r="C714" s="199"/>
      <c r="D714" s="199"/>
      <c r="E714" s="199"/>
      <c r="F714" s="205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</row>
    <row r="715" customFormat="false" ht="15" hidden="false" customHeight="false" outlineLevel="0" collapsed="false">
      <c r="A715" s="199"/>
      <c r="B715" s="199"/>
      <c r="C715" s="199"/>
      <c r="D715" s="199"/>
      <c r="E715" s="199"/>
      <c r="F715" s="205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</row>
    <row r="716" customFormat="false" ht="15" hidden="false" customHeight="false" outlineLevel="0" collapsed="false">
      <c r="A716" s="199"/>
      <c r="B716" s="199"/>
      <c r="C716" s="199"/>
      <c r="D716" s="199"/>
      <c r="E716" s="199"/>
      <c r="F716" s="205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</row>
    <row r="717" customFormat="false" ht="15" hidden="false" customHeight="false" outlineLevel="0" collapsed="false">
      <c r="A717" s="199"/>
      <c r="B717" s="199"/>
      <c r="C717" s="199"/>
      <c r="D717" s="199"/>
      <c r="E717" s="199"/>
      <c r="F717" s="205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</row>
    <row r="718" customFormat="false" ht="15" hidden="false" customHeight="false" outlineLevel="0" collapsed="false">
      <c r="A718" s="199"/>
      <c r="B718" s="199"/>
      <c r="C718" s="199"/>
      <c r="D718" s="199"/>
      <c r="E718" s="199"/>
      <c r="F718" s="205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</row>
    <row r="719" customFormat="false" ht="15" hidden="false" customHeight="false" outlineLevel="0" collapsed="false">
      <c r="A719" s="199"/>
      <c r="B719" s="199"/>
      <c r="C719" s="199"/>
      <c r="D719" s="199"/>
      <c r="E719" s="199"/>
      <c r="F719" s="205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</row>
    <row r="720" customFormat="false" ht="15" hidden="false" customHeight="false" outlineLevel="0" collapsed="false">
      <c r="A720" s="199"/>
      <c r="B720" s="199"/>
      <c r="C720" s="199"/>
      <c r="D720" s="199"/>
      <c r="E720" s="199"/>
      <c r="F720" s="205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</row>
    <row r="721" customFormat="false" ht="15" hidden="false" customHeight="false" outlineLevel="0" collapsed="false">
      <c r="A721" s="199"/>
      <c r="B721" s="199"/>
      <c r="C721" s="199"/>
      <c r="D721" s="199"/>
      <c r="E721" s="199"/>
      <c r="F721" s="205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</row>
    <row r="722" customFormat="false" ht="15" hidden="false" customHeight="false" outlineLevel="0" collapsed="false">
      <c r="A722" s="199"/>
      <c r="B722" s="199"/>
      <c r="C722" s="199"/>
      <c r="D722" s="199"/>
      <c r="E722" s="199"/>
      <c r="F722" s="205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</row>
    <row r="723" customFormat="false" ht="15" hidden="false" customHeight="false" outlineLevel="0" collapsed="false">
      <c r="A723" s="199"/>
      <c r="B723" s="199"/>
      <c r="C723" s="199"/>
      <c r="D723" s="199"/>
      <c r="E723" s="199"/>
      <c r="F723" s="205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</row>
    <row r="724" customFormat="false" ht="15" hidden="false" customHeight="false" outlineLevel="0" collapsed="false">
      <c r="A724" s="199"/>
      <c r="B724" s="199"/>
      <c r="C724" s="199"/>
      <c r="D724" s="199"/>
      <c r="E724" s="199"/>
      <c r="F724" s="205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</row>
    <row r="725" customFormat="false" ht="15" hidden="false" customHeight="false" outlineLevel="0" collapsed="false">
      <c r="A725" s="199"/>
      <c r="B725" s="199"/>
      <c r="C725" s="199"/>
      <c r="D725" s="199"/>
      <c r="E725" s="199"/>
      <c r="F725" s="205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</row>
    <row r="726" customFormat="false" ht="15" hidden="false" customHeight="false" outlineLevel="0" collapsed="false">
      <c r="A726" s="199"/>
      <c r="B726" s="199"/>
      <c r="C726" s="199"/>
      <c r="D726" s="199"/>
      <c r="E726" s="199"/>
      <c r="F726" s="205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</row>
    <row r="727" customFormat="false" ht="15" hidden="false" customHeight="false" outlineLevel="0" collapsed="false">
      <c r="A727" s="199"/>
      <c r="B727" s="199"/>
      <c r="C727" s="199"/>
      <c r="D727" s="199"/>
      <c r="E727" s="199"/>
      <c r="F727" s="205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</row>
    <row r="728" customFormat="false" ht="15" hidden="false" customHeight="false" outlineLevel="0" collapsed="false">
      <c r="A728" s="199"/>
      <c r="B728" s="199"/>
      <c r="C728" s="199"/>
      <c r="D728" s="199"/>
      <c r="E728" s="199"/>
      <c r="F728" s="205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</row>
    <row r="729" customFormat="false" ht="15" hidden="false" customHeight="false" outlineLevel="0" collapsed="false">
      <c r="A729" s="199"/>
      <c r="B729" s="199"/>
      <c r="C729" s="199"/>
      <c r="D729" s="199"/>
      <c r="E729" s="199"/>
      <c r="F729" s="205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</row>
    <row r="730" customFormat="false" ht="15" hidden="false" customHeight="false" outlineLevel="0" collapsed="false">
      <c r="A730" s="199"/>
      <c r="B730" s="199"/>
      <c r="C730" s="199"/>
      <c r="D730" s="199"/>
      <c r="E730" s="199"/>
      <c r="F730" s="205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</row>
    <row r="731" customFormat="false" ht="15" hidden="false" customHeight="false" outlineLevel="0" collapsed="false">
      <c r="A731" s="199"/>
      <c r="B731" s="199"/>
      <c r="C731" s="199"/>
      <c r="D731" s="199"/>
      <c r="E731" s="199"/>
      <c r="F731" s="205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</row>
    <row r="732" customFormat="false" ht="15" hidden="false" customHeight="false" outlineLevel="0" collapsed="false">
      <c r="A732" s="199"/>
      <c r="B732" s="199"/>
      <c r="C732" s="199"/>
      <c r="D732" s="199"/>
      <c r="E732" s="199"/>
      <c r="F732" s="205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</row>
    <row r="733" customFormat="false" ht="15" hidden="false" customHeight="false" outlineLevel="0" collapsed="false">
      <c r="A733" s="199"/>
      <c r="B733" s="199"/>
      <c r="C733" s="199"/>
      <c r="D733" s="199"/>
      <c r="E733" s="199"/>
      <c r="F733" s="205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</row>
    <row r="734" customFormat="false" ht="15" hidden="false" customHeight="false" outlineLevel="0" collapsed="false">
      <c r="A734" s="199"/>
      <c r="B734" s="199"/>
      <c r="C734" s="199"/>
      <c r="D734" s="199"/>
      <c r="E734" s="199"/>
      <c r="F734" s="205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</row>
    <row r="735" customFormat="false" ht="15" hidden="false" customHeight="false" outlineLevel="0" collapsed="false">
      <c r="A735" s="199"/>
      <c r="B735" s="199"/>
      <c r="C735" s="199"/>
      <c r="D735" s="199"/>
      <c r="E735" s="199"/>
      <c r="F735" s="205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</row>
    <row r="736" customFormat="false" ht="15" hidden="false" customHeight="false" outlineLevel="0" collapsed="false">
      <c r="A736" s="199"/>
      <c r="B736" s="199"/>
      <c r="C736" s="199"/>
      <c r="D736" s="199"/>
      <c r="E736" s="199"/>
      <c r="F736" s="205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</row>
    <row r="737" customFormat="false" ht="15" hidden="false" customHeight="false" outlineLevel="0" collapsed="false">
      <c r="A737" s="199"/>
      <c r="B737" s="199"/>
      <c r="C737" s="199"/>
      <c r="D737" s="199"/>
      <c r="E737" s="199"/>
      <c r="F737" s="205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</row>
    <row r="738" customFormat="false" ht="15" hidden="false" customHeight="false" outlineLevel="0" collapsed="false">
      <c r="A738" s="199"/>
      <c r="B738" s="199"/>
      <c r="C738" s="199"/>
      <c r="D738" s="199"/>
      <c r="E738" s="199"/>
      <c r="F738" s="205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</row>
    <row r="739" customFormat="false" ht="15" hidden="false" customHeight="false" outlineLevel="0" collapsed="false">
      <c r="A739" s="199"/>
      <c r="B739" s="199"/>
      <c r="C739" s="199"/>
      <c r="D739" s="199"/>
      <c r="E739" s="199"/>
      <c r="F739" s="205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</row>
    <row r="740" customFormat="false" ht="15" hidden="false" customHeight="false" outlineLevel="0" collapsed="false">
      <c r="A740" s="199"/>
      <c r="B740" s="199"/>
      <c r="C740" s="199"/>
      <c r="D740" s="199"/>
      <c r="E740" s="199"/>
      <c r="F740" s="205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</row>
    <row r="741" customFormat="false" ht="15" hidden="false" customHeight="false" outlineLevel="0" collapsed="false">
      <c r="A741" s="199"/>
      <c r="B741" s="199"/>
      <c r="C741" s="199"/>
      <c r="D741" s="199"/>
      <c r="E741" s="199"/>
      <c r="F741" s="205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</row>
    <row r="742" customFormat="false" ht="15" hidden="false" customHeight="false" outlineLevel="0" collapsed="false">
      <c r="A742" s="199"/>
      <c r="B742" s="199"/>
      <c r="C742" s="199"/>
      <c r="D742" s="199"/>
      <c r="E742" s="199"/>
      <c r="F742" s="205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</row>
    <row r="743" customFormat="false" ht="15" hidden="false" customHeight="false" outlineLevel="0" collapsed="false">
      <c r="A743" s="199"/>
      <c r="B743" s="199"/>
      <c r="C743" s="199"/>
      <c r="D743" s="199"/>
      <c r="E743" s="199"/>
      <c r="F743" s="205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</row>
    <row r="744" customFormat="false" ht="15" hidden="false" customHeight="false" outlineLevel="0" collapsed="false">
      <c r="A744" s="199"/>
      <c r="B744" s="199"/>
      <c r="C744" s="199"/>
      <c r="D744" s="199"/>
      <c r="E744" s="199"/>
      <c r="F744" s="205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</row>
    <row r="745" customFormat="false" ht="15" hidden="false" customHeight="false" outlineLevel="0" collapsed="false">
      <c r="A745" s="199"/>
      <c r="B745" s="199"/>
      <c r="C745" s="199"/>
      <c r="D745" s="199"/>
      <c r="E745" s="199"/>
      <c r="F745" s="205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</row>
    <row r="746" customFormat="false" ht="15" hidden="false" customHeight="false" outlineLevel="0" collapsed="false">
      <c r="A746" s="199"/>
      <c r="B746" s="199"/>
      <c r="C746" s="199"/>
      <c r="D746" s="199"/>
      <c r="E746" s="199"/>
      <c r="F746" s="205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</row>
    <row r="747" customFormat="false" ht="15" hidden="false" customHeight="false" outlineLevel="0" collapsed="false">
      <c r="A747" s="199"/>
      <c r="B747" s="199"/>
      <c r="C747" s="199"/>
      <c r="D747" s="199"/>
      <c r="E747" s="199"/>
      <c r="F747" s="205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</row>
    <row r="748" customFormat="false" ht="15" hidden="false" customHeight="false" outlineLevel="0" collapsed="false">
      <c r="A748" s="199"/>
      <c r="B748" s="199"/>
      <c r="C748" s="199"/>
      <c r="D748" s="199"/>
      <c r="E748" s="199"/>
      <c r="F748" s="205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</row>
    <row r="749" customFormat="false" ht="15" hidden="false" customHeight="false" outlineLevel="0" collapsed="false">
      <c r="A749" s="199"/>
      <c r="B749" s="199"/>
      <c r="C749" s="199"/>
      <c r="D749" s="199"/>
      <c r="E749" s="199"/>
      <c r="F749" s="205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</row>
    <row r="750" customFormat="false" ht="15" hidden="false" customHeight="false" outlineLevel="0" collapsed="false">
      <c r="A750" s="199"/>
      <c r="B750" s="199"/>
      <c r="C750" s="199"/>
      <c r="D750" s="199"/>
      <c r="E750" s="199"/>
      <c r="F750" s="205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</row>
    <row r="751" customFormat="false" ht="15" hidden="false" customHeight="false" outlineLevel="0" collapsed="false">
      <c r="A751" s="199"/>
      <c r="B751" s="199"/>
      <c r="C751" s="199"/>
      <c r="D751" s="199"/>
      <c r="E751" s="199"/>
      <c r="F751" s="205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</row>
    <row r="752" customFormat="false" ht="15" hidden="false" customHeight="false" outlineLevel="0" collapsed="false">
      <c r="A752" s="199"/>
      <c r="B752" s="199"/>
      <c r="C752" s="199"/>
      <c r="D752" s="199"/>
      <c r="E752" s="199"/>
      <c r="F752" s="205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</row>
    <row r="753" customFormat="false" ht="15" hidden="false" customHeight="false" outlineLevel="0" collapsed="false">
      <c r="A753" s="199"/>
      <c r="B753" s="199"/>
      <c r="C753" s="199"/>
      <c r="D753" s="199"/>
      <c r="E753" s="199"/>
      <c r="F753" s="205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</row>
    <row r="754" customFormat="false" ht="15" hidden="false" customHeight="false" outlineLevel="0" collapsed="false">
      <c r="A754" s="199"/>
      <c r="B754" s="199"/>
      <c r="C754" s="199"/>
      <c r="D754" s="199"/>
      <c r="E754" s="199"/>
      <c r="F754" s="205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</row>
    <row r="755" customFormat="false" ht="15" hidden="false" customHeight="false" outlineLevel="0" collapsed="false">
      <c r="A755" s="199"/>
      <c r="B755" s="199"/>
      <c r="C755" s="199"/>
      <c r="D755" s="199"/>
      <c r="E755" s="199"/>
      <c r="F755" s="205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</row>
    <row r="756" customFormat="false" ht="15" hidden="false" customHeight="false" outlineLevel="0" collapsed="false">
      <c r="A756" s="199"/>
      <c r="B756" s="199"/>
      <c r="C756" s="199"/>
      <c r="D756" s="199"/>
      <c r="E756" s="199"/>
      <c r="F756" s="205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</row>
    <row r="757" customFormat="false" ht="15" hidden="false" customHeight="false" outlineLevel="0" collapsed="false">
      <c r="A757" s="199"/>
      <c r="B757" s="199"/>
      <c r="C757" s="199"/>
      <c r="D757" s="199"/>
      <c r="E757" s="199"/>
      <c r="F757" s="205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</row>
    <row r="758" customFormat="false" ht="15" hidden="false" customHeight="false" outlineLevel="0" collapsed="false">
      <c r="A758" s="199"/>
      <c r="B758" s="199"/>
      <c r="C758" s="199"/>
      <c r="D758" s="199"/>
      <c r="E758" s="199"/>
      <c r="F758" s="205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</row>
    <row r="759" customFormat="false" ht="15" hidden="false" customHeight="false" outlineLevel="0" collapsed="false">
      <c r="A759" s="199"/>
      <c r="B759" s="199"/>
      <c r="C759" s="199"/>
      <c r="D759" s="199"/>
      <c r="E759" s="199"/>
      <c r="F759" s="205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</row>
    <row r="760" customFormat="false" ht="15" hidden="false" customHeight="false" outlineLevel="0" collapsed="false">
      <c r="A760" s="199"/>
      <c r="B760" s="199"/>
      <c r="C760" s="199"/>
      <c r="D760" s="199"/>
      <c r="E760" s="199"/>
      <c r="F760" s="205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</row>
    <row r="761" customFormat="false" ht="15" hidden="false" customHeight="false" outlineLevel="0" collapsed="false">
      <c r="A761" s="199"/>
      <c r="B761" s="199"/>
      <c r="C761" s="199"/>
      <c r="D761" s="199"/>
      <c r="E761" s="199"/>
      <c r="F761" s="205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</row>
    <row r="762" customFormat="false" ht="15" hidden="false" customHeight="false" outlineLevel="0" collapsed="false">
      <c r="A762" s="199"/>
      <c r="B762" s="199"/>
      <c r="C762" s="199"/>
      <c r="D762" s="199"/>
      <c r="E762" s="199"/>
      <c r="F762" s="205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</row>
    <row r="763" customFormat="false" ht="15" hidden="false" customHeight="false" outlineLevel="0" collapsed="false">
      <c r="A763" s="199"/>
      <c r="B763" s="199"/>
      <c r="C763" s="199"/>
      <c r="D763" s="199"/>
      <c r="E763" s="199"/>
      <c r="F763" s="205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</row>
    <row r="764" customFormat="false" ht="15" hidden="false" customHeight="false" outlineLevel="0" collapsed="false">
      <c r="A764" s="199"/>
      <c r="B764" s="199"/>
      <c r="C764" s="199"/>
      <c r="D764" s="199"/>
      <c r="E764" s="199"/>
      <c r="F764" s="205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</row>
    <row r="765" customFormat="false" ht="15" hidden="false" customHeight="false" outlineLevel="0" collapsed="false">
      <c r="A765" s="199"/>
      <c r="B765" s="199"/>
      <c r="C765" s="199"/>
      <c r="D765" s="199"/>
      <c r="E765" s="199"/>
      <c r="F765" s="205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</row>
    <row r="766" customFormat="false" ht="15" hidden="false" customHeight="false" outlineLevel="0" collapsed="false">
      <c r="A766" s="199"/>
      <c r="B766" s="199"/>
      <c r="C766" s="199"/>
      <c r="D766" s="199"/>
      <c r="E766" s="199"/>
      <c r="F766" s="205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</row>
    <row r="767" customFormat="false" ht="15" hidden="false" customHeight="false" outlineLevel="0" collapsed="false">
      <c r="A767" s="199"/>
      <c r="B767" s="199"/>
      <c r="C767" s="199"/>
      <c r="D767" s="199"/>
      <c r="E767" s="199"/>
      <c r="F767" s="205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</row>
    <row r="768" customFormat="false" ht="15" hidden="false" customHeight="false" outlineLevel="0" collapsed="false">
      <c r="A768" s="199"/>
      <c r="B768" s="199"/>
      <c r="C768" s="199"/>
      <c r="D768" s="199"/>
      <c r="E768" s="199"/>
      <c r="F768" s="205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</row>
    <row r="769" customFormat="false" ht="15" hidden="false" customHeight="false" outlineLevel="0" collapsed="false">
      <c r="A769" s="199"/>
      <c r="B769" s="199"/>
      <c r="C769" s="199"/>
      <c r="D769" s="199"/>
      <c r="E769" s="199"/>
      <c r="F769" s="205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</row>
    <row r="770" customFormat="false" ht="15" hidden="false" customHeight="false" outlineLevel="0" collapsed="false">
      <c r="A770" s="199"/>
      <c r="B770" s="199"/>
      <c r="C770" s="199"/>
      <c r="D770" s="199"/>
      <c r="E770" s="199"/>
      <c r="F770" s="205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</row>
    <row r="771" customFormat="false" ht="15" hidden="false" customHeight="false" outlineLevel="0" collapsed="false">
      <c r="A771" s="199"/>
      <c r="B771" s="199"/>
      <c r="C771" s="199"/>
      <c r="D771" s="199"/>
      <c r="E771" s="199"/>
      <c r="F771" s="205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</row>
    <row r="772" customFormat="false" ht="15" hidden="false" customHeight="false" outlineLevel="0" collapsed="false">
      <c r="A772" s="199"/>
      <c r="B772" s="199"/>
      <c r="C772" s="199"/>
      <c r="D772" s="199"/>
      <c r="E772" s="199"/>
      <c r="F772" s="205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</row>
    <row r="773" customFormat="false" ht="15" hidden="false" customHeight="false" outlineLevel="0" collapsed="false">
      <c r="A773" s="199"/>
      <c r="B773" s="199"/>
      <c r="C773" s="199"/>
      <c r="D773" s="199"/>
      <c r="E773" s="199"/>
      <c r="F773" s="205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</row>
    <row r="774" customFormat="false" ht="15" hidden="false" customHeight="false" outlineLevel="0" collapsed="false">
      <c r="A774" s="199"/>
      <c r="B774" s="199"/>
      <c r="C774" s="199"/>
      <c r="D774" s="199"/>
      <c r="E774" s="199"/>
      <c r="F774" s="205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</row>
    <row r="775" customFormat="false" ht="15" hidden="false" customHeight="false" outlineLevel="0" collapsed="false">
      <c r="A775" s="199"/>
      <c r="B775" s="199"/>
      <c r="C775" s="199"/>
      <c r="D775" s="199"/>
      <c r="E775" s="199"/>
      <c r="F775" s="205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</row>
    <row r="776" customFormat="false" ht="15" hidden="false" customHeight="false" outlineLevel="0" collapsed="false">
      <c r="A776" s="199"/>
      <c r="B776" s="199"/>
      <c r="C776" s="199"/>
      <c r="D776" s="199"/>
      <c r="E776" s="199"/>
      <c r="F776" s="205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</row>
    <row r="777" customFormat="false" ht="15" hidden="false" customHeight="false" outlineLevel="0" collapsed="false">
      <c r="A777" s="199"/>
      <c r="B777" s="199"/>
      <c r="C777" s="199"/>
      <c r="D777" s="199"/>
      <c r="E777" s="199"/>
      <c r="F777" s="205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</row>
    <row r="778" customFormat="false" ht="15" hidden="false" customHeight="false" outlineLevel="0" collapsed="false">
      <c r="A778" s="199"/>
      <c r="B778" s="199"/>
      <c r="C778" s="199"/>
      <c r="D778" s="199"/>
      <c r="E778" s="199"/>
      <c r="F778" s="205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</row>
    <row r="779" customFormat="false" ht="15" hidden="false" customHeight="false" outlineLevel="0" collapsed="false">
      <c r="A779" s="199"/>
      <c r="B779" s="199"/>
      <c r="C779" s="199"/>
      <c r="D779" s="199"/>
      <c r="E779" s="199"/>
      <c r="F779" s="205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</row>
    <row r="780" customFormat="false" ht="15" hidden="false" customHeight="false" outlineLevel="0" collapsed="false">
      <c r="A780" s="199"/>
      <c r="B780" s="199"/>
      <c r="C780" s="199"/>
      <c r="D780" s="199"/>
      <c r="E780" s="199"/>
      <c r="F780" s="205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</row>
    <row r="781" customFormat="false" ht="15" hidden="false" customHeight="false" outlineLevel="0" collapsed="false">
      <c r="A781" s="199"/>
      <c r="B781" s="199"/>
      <c r="C781" s="199"/>
      <c r="D781" s="199"/>
      <c r="E781" s="199"/>
      <c r="F781" s="205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</row>
    <row r="782" customFormat="false" ht="15" hidden="false" customHeight="false" outlineLevel="0" collapsed="false">
      <c r="A782" s="199"/>
      <c r="B782" s="199"/>
      <c r="C782" s="199"/>
      <c r="D782" s="199"/>
      <c r="E782" s="199"/>
      <c r="F782" s="205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</row>
    <row r="783" customFormat="false" ht="15" hidden="false" customHeight="false" outlineLevel="0" collapsed="false">
      <c r="A783" s="199"/>
      <c r="B783" s="199"/>
      <c r="C783" s="199"/>
      <c r="D783" s="199"/>
      <c r="E783" s="199"/>
      <c r="F783" s="205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</row>
    <row r="784" customFormat="false" ht="15" hidden="false" customHeight="false" outlineLevel="0" collapsed="false">
      <c r="A784" s="199"/>
      <c r="B784" s="199"/>
      <c r="C784" s="199"/>
      <c r="D784" s="199"/>
      <c r="E784" s="199"/>
      <c r="F784" s="205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</row>
    <row r="785" customFormat="false" ht="15" hidden="false" customHeight="false" outlineLevel="0" collapsed="false">
      <c r="A785" s="199"/>
      <c r="B785" s="199"/>
      <c r="C785" s="199"/>
      <c r="D785" s="199"/>
      <c r="E785" s="199"/>
      <c r="F785" s="205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</row>
    <row r="786" customFormat="false" ht="15" hidden="false" customHeight="false" outlineLevel="0" collapsed="false">
      <c r="A786" s="199"/>
      <c r="B786" s="199"/>
      <c r="C786" s="199"/>
      <c r="D786" s="199"/>
      <c r="E786" s="199"/>
      <c r="F786" s="205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</row>
    <row r="787" customFormat="false" ht="15" hidden="false" customHeight="false" outlineLevel="0" collapsed="false">
      <c r="A787" s="199"/>
      <c r="B787" s="199"/>
      <c r="C787" s="199"/>
      <c r="D787" s="199"/>
      <c r="E787" s="199"/>
      <c r="F787" s="205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</row>
    <row r="788" customFormat="false" ht="15" hidden="false" customHeight="false" outlineLevel="0" collapsed="false">
      <c r="A788" s="199"/>
      <c r="B788" s="199"/>
      <c r="C788" s="199"/>
      <c r="D788" s="199"/>
      <c r="E788" s="199"/>
      <c r="F788" s="205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</row>
    <row r="789" customFormat="false" ht="15" hidden="false" customHeight="false" outlineLevel="0" collapsed="false">
      <c r="A789" s="199"/>
      <c r="B789" s="199"/>
      <c r="C789" s="199"/>
      <c r="D789" s="199"/>
      <c r="E789" s="199"/>
      <c r="F789" s="205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</row>
    <row r="790" customFormat="false" ht="15" hidden="false" customHeight="false" outlineLevel="0" collapsed="false">
      <c r="A790" s="199"/>
      <c r="B790" s="199"/>
      <c r="C790" s="199"/>
      <c r="D790" s="199"/>
      <c r="E790" s="199"/>
      <c r="F790" s="205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</row>
    <row r="791" customFormat="false" ht="15" hidden="false" customHeight="false" outlineLevel="0" collapsed="false">
      <c r="A791" s="199"/>
      <c r="B791" s="199"/>
      <c r="C791" s="199"/>
      <c r="D791" s="199"/>
      <c r="E791" s="199"/>
      <c r="F791" s="205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</row>
    <row r="792" customFormat="false" ht="15" hidden="false" customHeight="false" outlineLevel="0" collapsed="false">
      <c r="A792" s="199"/>
      <c r="B792" s="199"/>
      <c r="C792" s="199"/>
      <c r="D792" s="199"/>
      <c r="E792" s="199"/>
      <c r="F792" s="205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</row>
    <row r="793" customFormat="false" ht="15" hidden="false" customHeight="false" outlineLevel="0" collapsed="false">
      <c r="A793" s="199"/>
      <c r="B793" s="199"/>
      <c r="C793" s="199"/>
      <c r="D793" s="199"/>
      <c r="E793" s="199"/>
      <c r="F793" s="205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</row>
    <row r="794" customFormat="false" ht="15" hidden="false" customHeight="false" outlineLevel="0" collapsed="false">
      <c r="A794" s="199"/>
      <c r="B794" s="199"/>
      <c r="C794" s="199"/>
      <c r="D794" s="199"/>
      <c r="E794" s="199"/>
      <c r="F794" s="205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</row>
    <row r="795" customFormat="false" ht="15" hidden="false" customHeight="false" outlineLevel="0" collapsed="false">
      <c r="A795" s="199"/>
      <c r="B795" s="199"/>
      <c r="C795" s="199"/>
      <c r="D795" s="199"/>
      <c r="E795" s="199"/>
      <c r="F795" s="205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</row>
    <row r="796" customFormat="false" ht="15" hidden="false" customHeight="false" outlineLevel="0" collapsed="false">
      <c r="A796" s="199"/>
      <c r="B796" s="199"/>
      <c r="C796" s="199"/>
      <c r="D796" s="199"/>
      <c r="E796" s="199"/>
      <c r="F796" s="205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</row>
    <row r="797" customFormat="false" ht="15" hidden="false" customHeight="false" outlineLevel="0" collapsed="false">
      <c r="A797" s="199"/>
      <c r="B797" s="199"/>
      <c r="C797" s="199"/>
      <c r="D797" s="199"/>
      <c r="E797" s="199"/>
      <c r="F797" s="205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</row>
    <row r="798" customFormat="false" ht="15" hidden="false" customHeight="false" outlineLevel="0" collapsed="false">
      <c r="A798" s="199"/>
      <c r="B798" s="199"/>
      <c r="C798" s="199"/>
      <c r="D798" s="199"/>
      <c r="E798" s="199"/>
      <c r="F798" s="205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</row>
    <row r="799" customFormat="false" ht="15" hidden="false" customHeight="false" outlineLevel="0" collapsed="false">
      <c r="A799" s="199"/>
      <c r="B799" s="199"/>
      <c r="C799" s="199"/>
      <c r="D799" s="199"/>
      <c r="E799" s="199"/>
      <c r="F799" s="205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</row>
    <row r="800" customFormat="false" ht="15" hidden="false" customHeight="false" outlineLevel="0" collapsed="false">
      <c r="A800" s="199"/>
      <c r="B800" s="199"/>
      <c r="C800" s="199"/>
      <c r="D800" s="199"/>
      <c r="E800" s="199"/>
      <c r="F800" s="205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</row>
    <row r="801" customFormat="false" ht="15" hidden="false" customHeight="false" outlineLevel="0" collapsed="false">
      <c r="A801" s="199"/>
      <c r="B801" s="199"/>
      <c r="C801" s="199"/>
      <c r="D801" s="199"/>
      <c r="E801" s="199"/>
      <c r="F801" s="205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</row>
    <row r="802" customFormat="false" ht="15" hidden="false" customHeight="false" outlineLevel="0" collapsed="false">
      <c r="A802" s="199"/>
      <c r="B802" s="199"/>
      <c r="C802" s="199"/>
      <c r="D802" s="199"/>
      <c r="E802" s="199"/>
      <c r="F802" s="205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</row>
    <row r="803" customFormat="false" ht="15" hidden="false" customHeight="false" outlineLevel="0" collapsed="false">
      <c r="A803" s="199"/>
      <c r="B803" s="199"/>
      <c r="C803" s="199"/>
      <c r="D803" s="199"/>
      <c r="E803" s="199"/>
      <c r="F803" s="205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</row>
    <row r="804" customFormat="false" ht="15" hidden="false" customHeight="false" outlineLevel="0" collapsed="false">
      <c r="A804" s="199"/>
      <c r="B804" s="199"/>
      <c r="C804" s="199"/>
      <c r="D804" s="199"/>
      <c r="E804" s="199"/>
      <c r="F804" s="205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</row>
    <row r="805" customFormat="false" ht="15" hidden="false" customHeight="false" outlineLevel="0" collapsed="false">
      <c r="A805" s="199"/>
      <c r="B805" s="199"/>
      <c r="C805" s="199"/>
      <c r="D805" s="199"/>
      <c r="E805" s="199"/>
      <c r="F805" s="205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</row>
    <row r="806" customFormat="false" ht="15" hidden="false" customHeight="false" outlineLevel="0" collapsed="false">
      <c r="A806" s="199"/>
      <c r="B806" s="199"/>
      <c r="C806" s="199"/>
      <c r="D806" s="199"/>
      <c r="E806" s="199"/>
      <c r="F806" s="205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</row>
    <row r="807" customFormat="false" ht="15" hidden="false" customHeight="false" outlineLevel="0" collapsed="false">
      <c r="A807" s="199"/>
      <c r="B807" s="199"/>
      <c r="C807" s="199"/>
      <c r="D807" s="199"/>
      <c r="E807" s="199"/>
      <c r="F807" s="205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</row>
    <row r="808" customFormat="false" ht="15" hidden="false" customHeight="false" outlineLevel="0" collapsed="false">
      <c r="A808" s="199"/>
      <c r="B808" s="199"/>
      <c r="C808" s="199"/>
      <c r="D808" s="199"/>
      <c r="E808" s="199"/>
      <c r="F808" s="205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</row>
    <row r="809" customFormat="false" ht="15" hidden="false" customHeight="false" outlineLevel="0" collapsed="false">
      <c r="A809" s="199"/>
      <c r="B809" s="199"/>
      <c r="C809" s="199"/>
      <c r="D809" s="199"/>
      <c r="E809" s="199"/>
      <c r="F809" s="205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</row>
    <row r="810" customFormat="false" ht="15" hidden="false" customHeight="false" outlineLevel="0" collapsed="false">
      <c r="A810" s="199"/>
      <c r="B810" s="199"/>
      <c r="C810" s="199"/>
      <c r="D810" s="199"/>
      <c r="E810" s="199"/>
      <c r="F810" s="205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</row>
    <row r="811" customFormat="false" ht="15" hidden="false" customHeight="false" outlineLevel="0" collapsed="false">
      <c r="A811" s="199"/>
      <c r="B811" s="199"/>
      <c r="C811" s="199"/>
      <c r="D811" s="199"/>
      <c r="E811" s="199"/>
      <c r="F811" s="205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</row>
    <row r="812" customFormat="false" ht="15" hidden="false" customHeight="false" outlineLevel="0" collapsed="false">
      <c r="A812" s="199"/>
      <c r="B812" s="199"/>
      <c r="C812" s="199"/>
      <c r="D812" s="199"/>
      <c r="E812" s="199"/>
      <c r="F812" s="205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</row>
    <row r="813" customFormat="false" ht="15" hidden="false" customHeight="false" outlineLevel="0" collapsed="false">
      <c r="A813" s="199"/>
      <c r="B813" s="199"/>
      <c r="C813" s="199"/>
      <c r="D813" s="199"/>
      <c r="E813" s="199"/>
      <c r="F813" s="205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</row>
    <row r="814" customFormat="false" ht="15" hidden="false" customHeight="false" outlineLevel="0" collapsed="false">
      <c r="A814" s="199"/>
      <c r="B814" s="199"/>
      <c r="C814" s="199"/>
      <c r="D814" s="199"/>
      <c r="E814" s="199"/>
      <c r="F814" s="205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</row>
    <row r="815" customFormat="false" ht="15" hidden="false" customHeight="false" outlineLevel="0" collapsed="false">
      <c r="A815" s="199"/>
      <c r="B815" s="199"/>
      <c r="C815" s="199"/>
      <c r="D815" s="199"/>
      <c r="E815" s="199"/>
      <c r="F815" s="205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</row>
    <row r="816" customFormat="false" ht="15" hidden="false" customHeight="false" outlineLevel="0" collapsed="false">
      <c r="A816" s="199"/>
      <c r="B816" s="199"/>
      <c r="C816" s="199"/>
      <c r="D816" s="199"/>
      <c r="E816" s="199"/>
      <c r="F816" s="205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</row>
    <row r="817" customFormat="false" ht="15" hidden="false" customHeight="false" outlineLevel="0" collapsed="false">
      <c r="A817" s="199"/>
      <c r="B817" s="199"/>
      <c r="C817" s="199"/>
      <c r="D817" s="199"/>
      <c r="E817" s="199"/>
      <c r="F817" s="205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</row>
    <row r="818" customFormat="false" ht="15" hidden="false" customHeight="false" outlineLevel="0" collapsed="false">
      <c r="A818" s="199"/>
      <c r="B818" s="199"/>
      <c r="C818" s="199"/>
      <c r="D818" s="199"/>
      <c r="E818" s="199"/>
      <c r="F818" s="205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</row>
    <row r="819" customFormat="false" ht="15" hidden="false" customHeight="false" outlineLevel="0" collapsed="false">
      <c r="A819" s="199"/>
      <c r="B819" s="199"/>
      <c r="C819" s="199"/>
      <c r="D819" s="199"/>
      <c r="E819" s="199"/>
      <c r="F819" s="205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</row>
    <row r="820" customFormat="false" ht="15" hidden="false" customHeight="false" outlineLevel="0" collapsed="false">
      <c r="A820" s="199"/>
      <c r="B820" s="199"/>
      <c r="C820" s="199"/>
      <c r="D820" s="199"/>
      <c r="E820" s="199"/>
      <c r="F820" s="205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</row>
    <row r="821" customFormat="false" ht="15" hidden="false" customHeight="false" outlineLevel="0" collapsed="false">
      <c r="A821" s="199"/>
      <c r="B821" s="199"/>
      <c r="C821" s="199"/>
      <c r="D821" s="199"/>
      <c r="E821" s="199"/>
      <c r="F821" s="205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</row>
    <row r="822" customFormat="false" ht="15" hidden="false" customHeight="false" outlineLevel="0" collapsed="false">
      <c r="A822" s="199"/>
      <c r="B822" s="199"/>
      <c r="C822" s="199"/>
      <c r="D822" s="199"/>
      <c r="E822" s="199"/>
      <c r="F822" s="205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</row>
    <row r="823" customFormat="false" ht="15" hidden="false" customHeight="false" outlineLevel="0" collapsed="false">
      <c r="A823" s="199"/>
      <c r="B823" s="199"/>
      <c r="C823" s="199"/>
      <c r="D823" s="199"/>
      <c r="E823" s="199"/>
      <c r="F823" s="205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</row>
    <row r="824" customFormat="false" ht="15" hidden="false" customHeight="false" outlineLevel="0" collapsed="false">
      <c r="A824" s="199"/>
      <c r="B824" s="199"/>
      <c r="C824" s="199"/>
      <c r="D824" s="199"/>
      <c r="E824" s="199"/>
      <c r="F824" s="205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</row>
    <row r="825" customFormat="false" ht="15" hidden="false" customHeight="false" outlineLevel="0" collapsed="false">
      <c r="A825" s="199"/>
      <c r="B825" s="199"/>
      <c r="C825" s="199"/>
      <c r="D825" s="199"/>
      <c r="E825" s="199"/>
      <c r="F825" s="205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</row>
    <row r="826" customFormat="false" ht="15" hidden="false" customHeight="false" outlineLevel="0" collapsed="false">
      <c r="A826" s="199"/>
      <c r="B826" s="199"/>
      <c r="C826" s="199"/>
      <c r="D826" s="199"/>
      <c r="E826" s="199"/>
      <c r="F826" s="205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</row>
    <row r="827" customFormat="false" ht="15" hidden="false" customHeight="false" outlineLevel="0" collapsed="false">
      <c r="A827" s="199"/>
      <c r="B827" s="199"/>
      <c r="C827" s="199"/>
      <c r="D827" s="199"/>
      <c r="E827" s="199"/>
      <c r="F827" s="205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</row>
    <row r="828" customFormat="false" ht="15" hidden="false" customHeight="false" outlineLevel="0" collapsed="false">
      <c r="A828" s="199"/>
      <c r="B828" s="199"/>
      <c r="C828" s="199"/>
      <c r="D828" s="199"/>
      <c r="E828" s="199"/>
      <c r="F828" s="205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</row>
    <row r="829" customFormat="false" ht="15" hidden="false" customHeight="false" outlineLevel="0" collapsed="false">
      <c r="A829" s="199"/>
      <c r="B829" s="199"/>
      <c r="C829" s="199"/>
      <c r="D829" s="199"/>
      <c r="E829" s="199"/>
      <c r="F829" s="205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</row>
    <row r="830" customFormat="false" ht="15" hidden="false" customHeight="false" outlineLevel="0" collapsed="false">
      <c r="A830" s="199"/>
      <c r="B830" s="199"/>
      <c r="C830" s="199"/>
      <c r="D830" s="199"/>
      <c r="E830" s="199"/>
      <c r="F830" s="205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</row>
    <row r="831" customFormat="false" ht="15" hidden="false" customHeight="false" outlineLevel="0" collapsed="false">
      <c r="A831" s="199"/>
      <c r="B831" s="199"/>
      <c r="C831" s="199"/>
      <c r="D831" s="199"/>
      <c r="E831" s="199"/>
      <c r="F831" s="205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</row>
    <row r="832" customFormat="false" ht="15" hidden="false" customHeight="false" outlineLevel="0" collapsed="false">
      <c r="A832" s="199"/>
      <c r="B832" s="199"/>
      <c r="C832" s="199"/>
      <c r="D832" s="199"/>
      <c r="E832" s="199"/>
      <c r="F832" s="205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</row>
    <row r="833" customFormat="false" ht="15" hidden="false" customHeight="false" outlineLevel="0" collapsed="false">
      <c r="A833" s="199"/>
      <c r="B833" s="199"/>
      <c r="C833" s="199"/>
      <c r="D833" s="199"/>
      <c r="E833" s="199"/>
      <c r="F833" s="205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</row>
    <row r="834" customFormat="false" ht="15" hidden="false" customHeight="false" outlineLevel="0" collapsed="false">
      <c r="A834" s="199"/>
      <c r="B834" s="199"/>
      <c r="C834" s="199"/>
      <c r="D834" s="199"/>
      <c r="E834" s="199"/>
      <c r="F834" s="205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</row>
    <row r="835" customFormat="false" ht="15" hidden="false" customHeight="false" outlineLevel="0" collapsed="false">
      <c r="A835" s="199"/>
      <c r="B835" s="199"/>
      <c r="C835" s="199"/>
      <c r="D835" s="199"/>
      <c r="E835" s="199"/>
      <c r="F835" s="205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</row>
    <row r="836" customFormat="false" ht="15" hidden="false" customHeight="false" outlineLevel="0" collapsed="false">
      <c r="A836" s="199"/>
      <c r="B836" s="199"/>
      <c r="C836" s="199"/>
      <c r="D836" s="199"/>
      <c r="E836" s="199"/>
      <c r="F836" s="205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</row>
    <row r="837" customFormat="false" ht="15" hidden="false" customHeight="false" outlineLevel="0" collapsed="false">
      <c r="A837" s="199"/>
      <c r="B837" s="199"/>
      <c r="C837" s="199"/>
      <c r="D837" s="199"/>
      <c r="E837" s="199"/>
      <c r="F837" s="205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</row>
    <row r="838" customFormat="false" ht="15" hidden="false" customHeight="false" outlineLevel="0" collapsed="false">
      <c r="A838" s="199"/>
      <c r="B838" s="199"/>
      <c r="C838" s="199"/>
      <c r="D838" s="199"/>
      <c r="E838" s="199"/>
      <c r="F838" s="205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</row>
    <row r="839" customFormat="false" ht="15" hidden="false" customHeight="false" outlineLevel="0" collapsed="false">
      <c r="A839" s="199"/>
      <c r="B839" s="199"/>
      <c r="C839" s="199"/>
      <c r="D839" s="199"/>
      <c r="E839" s="199"/>
      <c r="F839" s="205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</row>
    <row r="840" customFormat="false" ht="15" hidden="false" customHeight="false" outlineLevel="0" collapsed="false">
      <c r="A840" s="199"/>
      <c r="B840" s="199"/>
      <c r="C840" s="199"/>
      <c r="D840" s="199"/>
      <c r="E840" s="199"/>
      <c r="F840" s="205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</row>
    <row r="841" customFormat="false" ht="15" hidden="false" customHeight="false" outlineLevel="0" collapsed="false">
      <c r="A841" s="199"/>
      <c r="B841" s="199"/>
      <c r="C841" s="199"/>
      <c r="D841" s="199"/>
      <c r="E841" s="199"/>
      <c r="F841" s="205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</row>
    <row r="842" customFormat="false" ht="15" hidden="false" customHeight="false" outlineLevel="0" collapsed="false">
      <c r="A842" s="199"/>
      <c r="B842" s="199"/>
      <c r="C842" s="199"/>
      <c r="D842" s="199"/>
      <c r="E842" s="199"/>
      <c r="F842" s="205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</row>
    <row r="843" customFormat="false" ht="15" hidden="false" customHeight="false" outlineLevel="0" collapsed="false">
      <c r="A843" s="199"/>
      <c r="B843" s="199"/>
      <c r="C843" s="199"/>
      <c r="D843" s="199"/>
      <c r="E843" s="199"/>
      <c r="F843" s="205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</row>
    <row r="844" customFormat="false" ht="15" hidden="false" customHeight="false" outlineLevel="0" collapsed="false">
      <c r="A844" s="199"/>
      <c r="B844" s="199"/>
      <c r="C844" s="199"/>
      <c r="D844" s="199"/>
      <c r="E844" s="199"/>
      <c r="F844" s="205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</row>
    <row r="845" customFormat="false" ht="15" hidden="false" customHeight="false" outlineLevel="0" collapsed="false">
      <c r="A845" s="199"/>
      <c r="B845" s="199"/>
      <c r="C845" s="199"/>
      <c r="D845" s="199"/>
      <c r="E845" s="199"/>
      <c r="F845" s="205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</row>
    <row r="846" customFormat="false" ht="15" hidden="false" customHeight="false" outlineLevel="0" collapsed="false">
      <c r="A846" s="199"/>
      <c r="B846" s="199"/>
      <c r="C846" s="199"/>
      <c r="D846" s="199"/>
      <c r="E846" s="199"/>
      <c r="F846" s="205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</row>
    <row r="847" customFormat="false" ht="15" hidden="false" customHeight="false" outlineLevel="0" collapsed="false">
      <c r="A847" s="199"/>
      <c r="B847" s="199"/>
      <c r="C847" s="199"/>
      <c r="D847" s="199"/>
      <c r="E847" s="199"/>
      <c r="F847" s="205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</row>
    <row r="848" customFormat="false" ht="15" hidden="false" customHeight="false" outlineLevel="0" collapsed="false">
      <c r="A848" s="199"/>
      <c r="B848" s="199"/>
      <c r="C848" s="199"/>
      <c r="D848" s="199"/>
      <c r="E848" s="199"/>
      <c r="F848" s="205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</row>
    <row r="849" customFormat="false" ht="15" hidden="false" customHeight="false" outlineLevel="0" collapsed="false">
      <c r="A849" s="199"/>
      <c r="B849" s="199"/>
      <c r="C849" s="199"/>
      <c r="D849" s="199"/>
      <c r="E849" s="199"/>
      <c r="F849" s="205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</row>
    <row r="850" customFormat="false" ht="15" hidden="false" customHeight="false" outlineLevel="0" collapsed="false">
      <c r="A850" s="199"/>
      <c r="B850" s="199"/>
      <c r="C850" s="199"/>
      <c r="D850" s="199"/>
      <c r="E850" s="199"/>
      <c r="F850" s="205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</row>
    <row r="851" customFormat="false" ht="15" hidden="false" customHeight="false" outlineLevel="0" collapsed="false">
      <c r="A851" s="199"/>
      <c r="B851" s="199"/>
      <c r="C851" s="199"/>
      <c r="D851" s="199"/>
      <c r="E851" s="199"/>
      <c r="F851" s="205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</row>
    <row r="852" customFormat="false" ht="15" hidden="false" customHeight="false" outlineLevel="0" collapsed="false">
      <c r="A852" s="199"/>
      <c r="B852" s="199"/>
      <c r="C852" s="199"/>
      <c r="D852" s="199"/>
      <c r="E852" s="199"/>
      <c r="F852" s="205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</row>
    <row r="853" customFormat="false" ht="15" hidden="false" customHeight="false" outlineLevel="0" collapsed="false">
      <c r="A853" s="199"/>
      <c r="B853" s="199"/>
      <c r="C853" s="199"/>
      <c r="D853" s="199"/>
      <c r="E853" s="199"/>
      <c r="F853" s="205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</row>
    <row r="854" customFormat="false" ht="15" hidden="false" customHeight="false" outlineLevel="0" collapsed="false">
      <c r="A854" s="199"/>
      <c r="B854" s="199"/>
      <c r="C854" s="199"/>
      <c r="D854" s="199"/>
      <c r="E854" s="199"/>
      <c r="F854" s="205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</row>
    <row r="855" customFormat="false" ht="15" hidden="false" customHeight="false" outlineLevel="0" collapsed="false">
      <c r="A855" s="199"/>
      <c r="B855" s="199"/>
      <c r="C855" s="199"/>
      <c r="D855" s="199"/>
      <c r="E855" s="199"/>
      <c r="F855" s="205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</row>
    <row r="856" customFormat="false" ht="15" hidden="false" customHeight="false" outlineLevel="0" collapsed="false">
      <c r="A856" s="199"/>
      <c r="B856" s="199"/>
      <c r="C856" s="199"/>
      <c r="D856" s="199"/>
      <c r="E856" s="199"/>
      <c r="F856" s="205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</row>
    <row r="857" customFormat="false" ht="15" hidden="false" customHeight="false" outlineLevel="0" collapsed="false">
      <c r="A857" s="199"/>
      <c r="B857" s="199"/>
      <c r="C857" s="199"/>
      <c r="D857" s="199"/>
      <c r="E857" s="199"/>
      <c r="F857" s="205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</row>
    <row r="858" customFormat="false" ht="15" hidden="false" customHeight="false" outlineLevel="0" collapsed="false">
      <c r="A858" s="199"/>
      <c r="B858" s="199"/>
      <c r="C858" s="199"/>
      <c r="D858" s="199"/>
      <c r="E858" s="199"/>
      <c r="F858" s="205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</row>
    <row r="859" customFormat="false" ht="15" hidden="false" customHeight="false" outlineLevel="0" collapsed="false">
      <c r="A859" s="199"/>
      <c r="B859" s="199"/>
      <c r="C859" s="199"/>
      <c r="D859" s="199"/>
      <c r="E859" s="199"/>
      <c r="F859" s="205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</row>
    <row r="860" customFormat="false" ht="15" hidden="false" customHeight="false" outlineLevel="0" collapsed="false">
      <c r="A860" s="199"/>
      <c r="B860" s="199"/>
      <c r="C860" s="199"/>
      <c r="D860" s="199"/>
      <c r="E860" s="199"/>
      <c r="F860" s="205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</row>
    <row r="861" customFormat="false" ht="15" hidden="false" customHeight="false" outlineLevel="0" collapsed="false">
      <c r="A861" s="199"/>
      <c r="B861" s="199"/>
      <c r="C861" s="199"/>
      <c r="D861" s="199"/>
      <c r="E861" s="199"/>
      <c r="F861" s="205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</row>
    <row r="862" customFormat="false" ht="15" hidden="false" customHeight="false" outlineLevel="0" collapsed="false">
      <c r="A862" s="199"/>
      <c r="B862" s="199"/>
      <c r="C862" s="199"/>
      <c r="D862" s="199"/>
      <c r="E862" s="199"/>
      <c r="F862" s="205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</row>
    <row r="863" customFormat="false" ht="15" hidden="false" customHeight="false" outlineLevel="0" collapsed="false">
      <c r="A863" s="199"/>
      <c r="B863" s="199"/>
      <c r="C863" s="199"/>
      <c r="D863" s="199"/>
      <c r="E863" s="199"/>
      <c r="F863" s="205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</row>
    <row r="864" customFormat="false" ht="15" hidden="false" customHeight="false" outlineLevel="0" collapsed="false">
      <c r="A864" s="199"/>
      <c r="B864" s="199"/>
      <c r="C864" s="199"/>
      <c r="D864" s="199"/>
      <c r="E864" s="199"/>
      <c r="F864" s="205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</row>
    <row r="865" customFormat="false" ht="15" hidden="false" customHeight="false" outlineLevel="0" collapsed="false">
      <c r="A865" s="199"/>
      <c r="B865" s="199"/>
      <c r="C865" s="199"/>
      <c r="D865" s="199"/>
      <c r="E865" s="199"/>
      <c r="F865" s="205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</row>
    <row r="866" customFormat="false" ht="15" hidden="false" customHeight="false" outlineLevel="0" collapsed="false">
      <c r="A866" s="199"/>
      <c r="B866" s="199"/>
      <c r="C866" s="199"/>
      <c r="D866" s="199"/>
      <c r="E866" s="199"/>
      <c r="F866" s="205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</row>
    <row r="867" customFormat="false" ht="15" hidden="false" customHeight="false" outlineLevel="0" collapsed="false">
      <c r="A867" s="199"/>
      <c r="B867" s="199"/>
      <c r="C867" s="199"/>
      <c r="D867" s="199"/>
      <c r="E867" s="199"/>
      <c r="F867" s="205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</row>
    <row r="868" customFormat="false" ht="15" hidden="false" customHeight="false" outlineLevel="0" collapsed="false">
      <c r="A868" s="199"/>
      <c r="B868" s="199"/>
      <c r="C868" s="199"/>
      <c r="D868" s="199"/>
      <c r="E868" s="199"/>
      <c r="F868" s="205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</row>
    <row r="869" customFormat="false" ht="15" hidden="false" customHeight="false" outlineLevel="0" collapsed="false">
      <c r="A869" s="199"/>
      <c r="B869" s="199"/>
      <c r="C869" s="199"/>
      <c r="D869" s="199"/>
      <c r="E869" s="199"/>
      <c r="F869" s="205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</row>
    <row r="870" customFormat="false" ht="15" hidden="false" customHeight="false" outlineLevel="0" collapsed="false">
      <c r="A870" s="199"/>
      <c r="B870" s="199"/>
      <c r="C870" s="199"/>
      <c r="D870" s="199"/>
      <c r="E870" s="199"/>
      <c r="F870" s="205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</row>
    <row r="871" customFormat="false" ht="15" hidden="false" customHeight="false" outlineLevel="0" collapsed="false">
      <c r="A871" s="199"/>
      <c r="B871" s="199"/>
      <c r="C871" s="199"/>
      <c r="D871" s="199"/>
      <c r="E871" s="199"/>
      <c r="F871" s="205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</row>
    <row r="872" customFormat="false" ht="15" hidden="false" customHeight="false" outlineLevel="0" collapsed="false">
      <c r="A872" s="199"/>
      <c r="B872" s="199"/>
      <c r="C872" s="199"/>
      <c r="D872" s="199"/>
      <c r="E872" s="199"/>
      <c r="F872" s="205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</row>
    <row r="873" customFormat="false" ht="15" hidden="false" customHeight="false" outlineLevel="0" collapsed="false">
      <c r="A873" s="199"/>
      <c r="B873" s="199"/>
      <c r="C873" s="199"/>
      <c r="D873" s="199"/>
      <c r="E873" s="199"/>
      <c r="F873" s="205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</row>
    <row r="874" customFormat="false" ht="15" hidden="false" customHeight="false" outlineLevel="0" collapsed="false">
      <c r="A874" s="199"/>
      <c r="B874" s="199"/>
      <c r="C874" s="199"/>
      <c r="D874" s="199"/>
      <c r="E874" s="199"/>
      <c r="F874" s="205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</row>
    <row r="875" customFormat="false" ht="15" hidden="false" customHeight="false" outlineLevel="0" collapsed="false">
      <c r="A875" s="199"/>
      <c r="B875" s="199"/>
      <c r="C875" s="199"/>
      <c r="D875" s="199"/>
      <c r="E875" s="199"/>
      <c r="F875" s="205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</row>
    <row r="876" customFormat="false" ht="15" hidden="false" customHeight="false" outlineLevel="0" collapsed="false">
      <c r="A876" s="199"/>
      <c r="B876" s="199"/>
      <c r="C876" s="199"/>
      <c r="D876" s="199"/>
      <c r="E876" s="199"/>
      <c r="F876" s="205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</row>
    <row r="877" customFormat="false" ht="15" hidden="false" customHeight="false" outlineLevel="0" collapsed="false">
      <c r="A877" s="199"/>
      <c r="B877" s="199"/>
      <c r="C877" s="199"/>
      <c r="D877" s="199"/>
      <c r="E877" s="199"/>
      <c r="F877" s="205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</row>
    <row r="878" customFormat="false" ht="15" hidden="false" customHeight="false" outlineLevel="0" collapsed="false">
      <c r="A878" s="199"/>
      <c r="B878" s="199"/>
      <c r="C878" s="199"/>
      <c r="D878" s="199"/>
      <c r="E878" s="199"/>
      <c r="F878" s="205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</row>
    <row r="879" customFormat="false" ht="15" hidden="false" customHeight="false" outlineLevel="0" collapsed="false">
      <c r="A879" s="199"/>
      <c r="B879" s="199"/>
      <c r="C879" s="199"/>
      <c r="D879" s="199"/>
      <c r="E879" s="199"/>
      <c r="F879" s="205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</row>
    <row r="880" customFormat="false" ht="15" hidden="false" customHeight="false" outlineLevel="0" collapsed="false">
      <c r="A880" s="199"/>
      <c r="B880" s="199"/>
      <c r="C880" s="199"/>
      <c r="D880" s="199"/>
      <c r="E880" s="199"/>
      <c r="F880" s="205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</row>
    <row r="881" customFormat="false" ht="15" hidden="false" customHeight="false" outlineLevel="0" collapsed="false">
      <c r="A881" s="199"/>
      <c r="B881" s="199"/>
      <c r="C881" s="199"/>
      <c r="D881" s="199"/>
      <c r="E881" s="199"/>
      <c r="F881" s="205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</row>
    <row r="882" customFormat="false" ht="15" hidden="false" customHeight="false" outlineLevel="0" collapsed="false">
      <c r="A882" s="199"/>
      <c r="B882" s="199"/>
      <c r="C882" s="199"/>
      <c r="D882" s="199"/>
      <c r="E882" s="199"/>
      <c r="F882" s="205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</row>
    <row r="883" customFormat="false" ht="15" hidden="false" customHeight="false" outlineLevel="0" collapsed="false">
      <c r="A883" s="199"/>
      <c r="B883" s="199"/>
      <c r="C883" s="199"/>
      <c r="D883" s="199"/>
      <c r="E883" s="199"/>
      <c r="F883" s="205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</row>
    <row r="884" customFormat="false" ht="15" hidden="false" customHeight="false" outlineLevel="0" collapsed="false">
      <c r="A884" s="199"/>
      <c r="B884" s="199"/>
      <c r="C884" s="199"/>
      <c r="D884" s="199"/>
      <c r="E884" s="199"/>
      <c r="F884" s="205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</row>
    <row r="885" customFormat="false" ht="15" hidden="false" customHeight="false" outlineLevel="0" collapsed="false">
      <c r="A885" s="199"/>
      <c r="B885" s="199"/>
      <c r="C885" s="199"/>
      <c r="D885" s="199"/>
      <c r="E885" s="199"/>
      <c r="F885" s="205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</row>
    <row r="886" customFormat="false" ht="15" hidden="false" customHeight="false" outlineLevel="0" collapsed="false">
      <c r="A886" s="199"/>
      <c r="B886" s="199"/>
      <c r="C886" s="199"/>
      <c r="D886" s="199"/>
      <c r="E886" s="199"/>
      <c r="F886" s="205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</row>
    <row r="887" customFormat="false" ht="15" hidden="false" customHeight="false" outlineLevel="0" collapsed="false">
      <c r="A887" s="199"/>
      <c r="B887" s="199"/>
      <c r="C887" s="199"/>
      <c r="D887" s="199"/>
      <c r="E887" s="199"/>
      <c r="F887" s="205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</row>
    <row r="888" customFormat="false" ht="15" hidden="false" customHeight="false" outlineLevel="0" collapsed="false">
      <c r="A888" s="199"/>
      <c r="B888" s="199"/>
      <c r="C888" s="199"/>
      <c r="D888" s="199"/>
      <c r="E888" s="199"/>
      <c r="F888" s="205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</row>
    <row r="889" customFormat="false" ht="15" hidden="false" customHeight="false" outlineLevel="0" collapsed="false">
      <c r="A889" s="199"/>
      <c r="B889" s="199"/>
      <c r="C889" s="199"/>
      <c r="D889" s="199"/>
      <c r="E889" s="199"/>
      <c r="F889" s="205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</row>
    <row r="890" customFormat="false" ht="15" hidden="false" customHeight="false" outlineLevel="0" collapsed="false">
      <c r="A890" s="199"/>
      <c r="B890" s="199"/>
      <c r="C890" s="199"/>
      <c r="D890" s="199"/>
      <c r="E890" s="199"/>
      <c r="F890" s="205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</row>
    <row r="891" customFormat="false" ht="15" hidden="false" customHeight="false" outlineLevel="0" collapsed="false">
      <c r="A891" s="199"/>
      <c r="B891" s="199"/>
      <c r="C891" s="199"/>
      <c r="D891" s="199"/>
      <c r="E891" s="199"/>
      <c r="F891" s="205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</row>
    <row r="892" customFormat="false" ht="15" hidden="false" customHeight="false" outlineLevel="0" collapsed="false">
      <c r="A892" s="199"/>
      <c r="B892" s="199"/>
      <c r="C892" s="199"/>
      <c r="D892" s="199"/>
      <c r="E892" s="199"/>
      <c r="F892" s="205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</row>
    <row r="893" customFormat="false" ht="15" hidden="false" customHeight="false" outlineLevel="0" collapsed="false">
      <c r="A893" s="199"/>
      <c r="B893" s="199"/>
      <c r="C893" s="199"/>
      <c r="D893" s="199"/>
      <c r="E893" s="199"/>
      <c r="F893" s="205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</row>
    <row r="894" customFormat="false" ht="15" hidden="false" customHeight="false" outlineLevel="0" collapsed="false">
      <c r="A894" s="199"/>
      <c r="B894" s="199"/>
      <c r="C894" s="199"/>
      <c r="D894" s="199"/>
      <c r="E894" s="199"/>
      <c r="F894" s="205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</row>
    <row r="895" customFormat="false" ht="15" hidden="false" customHeight="false" outlineLevel="0" collapsed="false">
      <c r="A895" s="199"/>
      <c r="B895" s="199"/>
      <c r="C895" s="199"/>
      <c r="D895" s="199"/>
      <c r="E895" s="199"/>
      <c r="F895" s="205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</row>
    <row r="896" customFormat="false" ht="15" hidden="false" customHeight="false" outlineLevel="0" collapsed="false">
      <c r="A896" s="199"/>
      <c r="B896" s="199"/>
      <c r="C896" s="199"/>
      <c r="D896" s="199"/>
      <c r="E896" s="199"/>
      <c r="F896" s="205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</row>
    <row r="897" customFormat="false" ht="15" hidden="false" customHeight="false" outlineLevel="0" collapsed="false">
      <c r="A897" s="199"/>
      <c r="B897" s="199"/>
      <c r="C897" s="199"/>
      <c r="D897" s="199"/>
      <c r="E897" s="199"/>
      <c r="F897" s="205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</row>
    <row r="898" customFormat="false" ht="15" hidden="false" customHeight="false" outlineLevel="0" collapsed="false">
      <c r="A898" s="199"/>
      <c r="B898" s="199"/>
      <c r="C898" s="199"/>
      <c r="D898" s="199"/>
      <c r="E898" s="199"/>
      <c r="F898" s="205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</row>
    <row r="899" customFormat="false" ht="15" hidden="false" customHeight="false" outlineLevel="0" collapsed="false">
      <c r="A899" s="199"/>
      <c r="B899" s="199"/>
      <c r="C899" s="199"/>
      <c r="D899" s="199"/>
      <c r="E899" s="199"/>
      <c r="F899" s="205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</row>
    <row r="900" customFormat="false" ht="15" hidden="false" customHeight="false" outlineLevel="0" collapsed="false">
      <c r="A900" s="199"/>
      <c r="B900" s="199"/>
      <c r="C900" s="199"/>
      <c r="D900" s="199"/>
      <c r="E900" s="199"/>
      <c r="F900" s="205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</row>
    <row r="901" customFormat="false" ht="15" hidden="false" customHeight="false" outlineLevel="0" collapsed="false">
      <c r="A901" s="199"/>
      <c r="B901" s="199"/>
      <c r="C901" s="199"/>
      <c r="D901" s="199"/>
      <c r="E901" s="199"/>
      <c r="F901" s="205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</row>
    <row r="902" customFormat="false" ht="15" hidden="false" customHeight="false" outlineLevel="0" collapsed="false">
      <c r="A902" s="199"/>
      <c r="B902" s="199"/>
      <c r="C902" s="199"/>
      <c r="D902" s="199"/>
      <c r="E902" s="199"/>
      <c r="F902" s="205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</row>
    <row r="903" customFormat="false" ht="15" hidden="false" customHeight="false" outlineLevel="0" collapsed="false">
      <c r="A903" s="199"/>
      <c r="B903" s="199"/>
      <c r="C903" s="199"/>
      <c r="D903" s="199"/>
      <c r="E903" s="199"/>
      <c r="F903" s="205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</row>
    <row r="904" customFormat="false" ht="15" hidden="false" customHeight="false" outlineLevel="0" collapsed="false">
      <c r="A904" s="199"/>
      <c r="B904" s="199"/>
      <c r="C904" s="199"/>
      <c r="D904" s="199"/>
      <c r="E904" s="199"/>
      <c r="F904" s="205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</row>
    <row r="905" customFormat="false" ht="15" hidden="false" customHeight="false" outlineLevel="0" collapsed="false">
      <c r="A905" s="199"/>
      <c r="B905" s="199"/>
      <c r="C905" s="199"/>
      <c r="D905" s="199"/>
      <c r="E905" s="199"/>
      <c r="F905" s="205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</row>
    <row r="906" customFormat="false" ht="15" hidden="false" customHeight="false" outlineLevel="0" collapsed="false">
      <c r="A906" s="199"/>
      <c r="B906" s="199"/>
      <c r="C906" s="199"/>
      <c r="D906" s="199"/>
      <c r="E906" s="199"/>
      <c r="F906" s="205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</row>
    <row r="907" customFormat="false" ht="15" hidden="false" customHeight="false" outlineLevel="0" collapsed="false">
      <c r="A907" s="199"/>
      <c r="B907" s="199"/>
      <c r="C907" s="199"/>
      <c r="D907" s="199"/>
      <c r="E907" s="199"/>
      <c r="F907" s="205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</row>
    <row r="908" customFormat="false" ht="15" hidden="false" customHeight="false" outlineLevel="0" collapsed="false">
      <c r="A908" s="199"/>
      <c r="B908" s="199"/>
      <c r="C908" s="199"/>
      <c r="D908" s="199"/>
      <c r="E908" s="199"/>
      <c r="F908" s="205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</row>
    <row r="909" customFormat="false" ht="15" hidden="false" customHeight="false" outlineLevel="0" collapsed="false">
      <c r="A909" s="199"/>
      <c r="B909" s="199"/>
      <c r="C909" s="199"/>
      <c r="D909" s="199"/>
      <c r="E909" s="199"/>
      <c r="F909" s="205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</row>
    <row r="910" customFormat="false" ht="15" hidden="false" customHeight="false" outlineLevel="0" collapsed="false">
      <c r="A910" s="199"/>
      <c r="B910" s="199"/>
      <c r="C910" s="199"/>
      <c r="D910" s="199"/>
      <c r="E910" s="199"/>
      <c r="F910" s="205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</row>
    <row r="911" customFormat="false" ht="15" hidden="false" customHeight="false" outlineLevel="0" collapsed="false">
      <c r="A911" s="199"/>
      <c r="B911" s="199"/>
      <c r="C911" s="199"/>
      <c r="D911" s="199"/>
      <c r="E911" s="199"/>
      <c r="F911" s="205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</row>
    <row r="912" customFormat="false" ht="15" hidden="false" customHeight="false" outlineLevel="0" collapsed="false">
      <c r="A912" s="199"/>
      <c r="B912" s="199"/>
      <c r="C912" s="199"/>
      <c r="D912" s="199"/>
      <c r="E912" s="199"/>
      <c r="F912" s="205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</row>
    <row r="913" customFormat="false" ht="15" hidden="false" customHeight="false" outlineLevel="0" collapsed="false">
      <c r="A913" s="199"/>
      <c r="B913" s="199"/>
      <c r="C913" s="199"/>
      <c r="D913" s="199"/>
      <c r="E913" s="199"/>
      <c r="F913" s="205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</row>
    <row r="914" customFormat="false" ht="15" hidden="false" customHeight="false" outlineLevel="0" collapsed="false">
      <c r="A914" s="199"/>
      <c r="B914" s="199"/>
      <c r="C914" s="199"/>
      <c r="D914" s="199"/>
      <c r="E914" s="199"/>
      <c r="F914" s="205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</row>
    <row r="915" customFormat="false" ht="15" hidden="false" customHeight="false" outlineLevel="0" collapsed="false">
      <c r="A915" s="199"/>
      <c r="B915" s="199"/>
      <c r="C915" s="199"/>
      <c r="D915" s="199"/>
      <c r="E915" s="199"/>
      <c r="F915" s="205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</row>
    <row r="916" customFormat="false" ht="15" hidden="false" customHeight="false" outlineLevel="0" collapsed="false">
      <c r="A916" s="199"/>
      <c r="B916" s="199"/>
      <c r="C916" s="199"/>
      <c r="D916" s="199"/>
      <c r="E916" s="199"/>
      <c r="F916" s="205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</row>
    <row r="917" customFormat="false" ht="15" hidden="false" customHeight="false" outlineLevel="0" collapsed="false">
      <c r="A917" s="199"/>
      <c r="B917" s="199"/>
      <c r="C917" s="199"/>
      <c r="D917" s="199"/>
      <c r="E917" s="199"/>
      <c r="F917" s="205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</row>
    <row r="918" customFormat="false" ht="15" hidden="false" customHeight="false" outlineLevel="0" collapsed="false">
      <c r="A918" s="199"/>
      <c r="B918" s="199"/>
      <c r="C918" s="199"/>
      <c r="D918" s="199"/>
      <c r="E918" s="199"/>
      <c r="F918" s="205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</row>
    <row r="919" customFormat="false" ht="15" hidden="false" customHeight="false" outlineLevel="0" collapsed="false">
      <c r="A919" s="199"/>
      <c r="B919" s="199"/>
      <c r="C919" s="199"/>
      <c r="D919" s="199"/>
      <c r="E919" s="199"/>
      <c r="F919" s="205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</row>
    <row r="920" customFormat="false" ht="15" hidden="false" customHeight="false" outlineLevel="0" collapsed="false">
      <c r="A920" s="199"/>
      <c r="B920" s="199"/>
      <c r="C920" s="199"/>
      <c r="D920" s="199"/>
      <c r="E920" s="199"/>
      <c r="F920" s="205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</row>
    <row r="921" customFormat="false" ht="15" hidden="false" customHeight="false" outlineLevel="0" collapsed="false">
      <c r="A921" s="199"/>
      <c r="B921" s="199"/>
      <c r="C921" s="199"/>
      <c r="D921" s="199"/>
      <c r="E921" s="199"/>
      <c r="F921" s="205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</row>
    <row r="922" customFormat="false" ht="15" hidden="false" customHeight="false" outlineLevel="0" collapsed="false">
      <c r="A922" s="199"/>
      <c r="B922" s="199"/>
      <c r="C922" s="199"/>
      <c r="D922" s="199"/>
      <c r="E922" s="199"/>
      <c r="F922" s="205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</row>
    <row r="923" customFormat="false" ht="15" hidden="false" customHeight="false" outlineLevel="0" collapsed="false">
      <c r="A923" s="199"/>
      <c r="B923" s="199"/>
      <c r="C923" s="199"/>
      <c r="D923" s="199"/>
      <c r="E923" s="199"/>
      <c r="F923" s="205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</row>
    <row r="924" customFormat="false" ht="15" hidden="false" customHeight="false" outlineLevel="0" collapsed="false">
      <c r="A924" s="199"/>
      <c r="B924" s="199"/>
      <c r="C924" s="199"/>
      <c r="D924" s="199"/>
      <c r="E924" s="199"/>
      <c r="F924" s="205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</row>
    <row r="925" customFormat="false" ht="15" hidden="false" customHeight="false" outlineLevel="0" collapsed="false">
      <c r="A925" s="199"/>
      <c r="B925" s="199"/>
      <c r="C925" s="199"/>
      <c r="D925" s="199"/>
      <c r="E925" s="199"/>
      <c r="F925" s="205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</row>
    <row r="926" customFormat="false" ht="15" hidden="false" customHeight="false" outlineLevel="0" collapsed="false">
      <c r="A926" s="199"/>
      <c r="B926" s="199"/>
      <c r="C926" s="199"/>
      <c r="D926" s="199"/>
      <c r="E926" s="199"/>
      <c r="F926" s="205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</row>
    <row r="927" customFormat="false" ht="15" hidden="false" customHeight="false" outlineLevel="0" collapsed="false">
      <c r="A927" s="199"/>
      <c r="B927" s="199"/>
      <c r="C927" s="199"/>
      <c r="D927" s="199"/>
      <c r="E927" s="199"/>
      <c r="F927" s="205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</row>
    <row r="928" customFormat="false" ht="15" hidden="false" customHeight="false" outlineLevel="0" collapsed="false">
      <c r="A928" s="199"/>
      <c r="B928" s="199"/>
      <c r="C928" s="199"/>
      <c r="D928" s="199"/>
      <c r="E928" s="199"/>
      <c r="F928" s="205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</row>
    <row r="929" customFormat="false" ht="15" hidden="false" customHeight="false" outlineLevel="0" collapsed="false">
      <c r="A929" s="199"/>
      <c r="B929" s="199"/>
      <c r="C929" s="199"/>
      <c r="D929" s="199"/>
      <c r="E929" s="199"/>
      <c r="F929" s="205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</row>
    <row r="930" customFormat="false" ht="15" hidden="false" customHeight="false" outlineLevel="0" collapsed="false">
      <c r="A930" s="199"/>
      <c r="B930" s="199"/>
      <c r="C930" s="199"/>
      <c r="D930" s="199"/>
      <c r="E930" s="199"/>
      <c r="F930" s="205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</row>
    <row r="931" customFormat="false" ht="15" hidden="false" customHeight="false" outlineLevel="0" collapsed="false">
      <c r="A931" s="199"/>
      <c r="B931" s="199"/>
      <c r="C931" s="199"/>
      <c r="D931" s="199"/>
      <c r="E931" s="199"/>
      <c r="F931" s="205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</row>
    <row r="932" customFormat="false" ht="15" hidden="false" customHeight="false" outlineLevel="0" collapsed="false">
      <c r="A932" s="199"/>
      <c r="B932" s="199"/>
      <c r="C932" s="199"/>
      <c r="D932" s="199"/>
      <c r="E932" s="199"/>
      <c r="F932" s="205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</row>
    <row r="933" customFormat="false" ht="15" hidden="false" customHeight="false" outlineLevel="0" collapsed="false">
      <c r="A933" s="199"/>
      <c r="B933" s="199"/>
      <c r="C933" s="199"/>
      <c r="D933" s="199"/>
      <c r="E933" s="199"/>
      <c r="F933" s="205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</row>
    <row r="934" customFormat="false" ht="15" hidden="false" customHeight="false" outlineLevel="0" collapsed="false">
      <c r="A934" s="199"/>
      <c r="B934" s="199"/>
      <c r="C934" s="199"/>
      <c r="D934" s="199"/>
      <c r="E934" s="199"/>
      <c r="F934" s="205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</row>
    <row r="935" customFormat="false" ht="15" hidden="false" customHeight="false" outlineLevel="0" collapsed="false">
      <c r="A935" s="199"/>
      <c r="B935" s="199"/>
      <c r="C935" s="199"/>
      <c r="D935" s="199"/>
      <c r="E935" s="199"/>
      <c r="F935" s="205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</row>
    <row r="936" customFormat="false" ht="15" hidden="false" customHeight="false" outlineLevel="0" collapsed="false">
      <c r="A936" s="199"/>
      <c r="B936" s="199"/>
      <c r="C936" s="199"/>
      <c r="D936" s="199"/>
      <c r="E936" s="199"/>
      <c r="F936" s="205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</row>
    <row r="937" customFormat="false" ht="15" hidden="false" customHeight="false" outlineLevel="0" collapsed="false">
      <c r="A937" s="199"/>
      <c r="B937" s="199"/>
      <c r="C937" s="199"/>
      <c r="D937" s="199"/>
      <c r="E937" s="199"/>
      <c r="F937" s="205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</row>
    <row r="938" customFormat="false" ht="15" hidden="false" customHeight="false" outlineLevel="0" collapsed="false">
      <c r="A938" s="199"/>
      <c r="B938" s="199"/>
      <c r="C938" s="199"/>
      <c r="D938" s="199"/>
      <c r="E938" s="199"/>
      <c r="F938" s="205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</row>
    <row r="939" customFormat="false" ht="15" hidden="false" customHeight="false" outlineLevel="0" collapsed="false">
      <c r="A939" s="199"/>
      <c r="B939" s="199"/>
      <c r="C939" s="199"/>
      <c r="D939" s="199"/>
      <c r="E939" s="199"/>
      <c r="F939" s="205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</row>
    <row r="940" customFormat="false" ht="15" hidden="false" customHeight="false" outlineLevel="0" collapsed="false">
      <c r="A940" s="199"/>
      <c r="B940" s="199"/>
      <c r="C940" s="199"/>
      <c r="D940" s="199"/>
      <c r="E940" s="199"/>
      <c r="F940" s="205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</row>
    <row r="941" customFormat="false" ht="15" hidden="false" customHeight="false" outlineLevel="0" collapsed="false">
      <c r="A941" s="199"/>
      <c r="B941" s="199"/>
      <c r="C941" s="199"/>
      <c r="D941" s="199"/>
      <c r="E941" s="199"/>
      <c r="F941" s="205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</row>
    <row r="942" customFormat="false" ht="15" hidden="false" customHeight="false" outlineLevel="0" collapsed="false">
      <c r="A942" s="199"/>
      <c r="B942" s="199"/>
      <c r="C942" s="199"/>
      <c r="D942" s="199"/>
      <c r="E942" s="199"/>
      <c r="F942" s="205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</row>
    <row r="943" customFormat="false" ht="15" hidden="false" customHeight="false" outlineLevel="0" collapsed="false">
      <c r="A943" s="199"/>
      <c r="B943" s="199"/>
      <c r="C943" s="199"/>
      <c r="D943" s="199"/>
      <c r="E943" s="199"/>
      <c r="F943" s="205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</row>
    <row r="944" customFormat="false" ht="15" hidden="false" customHeight="false" outlineLevel="0" collapsed="false">
      <c r="A944" s="199"/>
      <c r="B944" s="199"/>
      <c r="C944" s="199"/>
      <c r="D944" s="199"/>
      <c r="E944" s="199"/>
      <c r="F944" s="205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</row>
    <row r="945" customFormat="false" ht="15" hidden="false" customHeight="false" outlineLevel="0" collapsed="false">
      <c r="A945" s="199"/>
      <c r="B945" s="199"/>
      <c r="C945" s="199"/>
      <c r="D945" s="199"/>
      <c r="E945" s="199"/>
      <c r="F945" s="205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</row>
    <row r="946" customFormat="false" ht="15" hidden="false" customHeight="false" outlineLevel="0" collapsed="false">
      <c r="A946" s="199"/>
      <c r="B946" s="199"/>
      <c r="C946" s="199"/>
      <c r="D946" s="199"/>
      <c r="E946" s="199"/>
      <c r="F946" s="205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</row>
    <row r="947" customFormat="false" ht="15" hidden="false" customHeight="false" outlineLevel="0" collapsed="false">
      <c r="A947" s="199"/>
      <c r="B947" s="199"/>
      <c r="C947" s="199"/>
      <c r="D947" s="199"/>
      <c r="E947" s="199"/>
      <c r="F947" s="205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</row>
    <row r="948" customFormat="false" ht="15" hidden="false" customHeight="false" outlineLevel="0" collapsed="false">
      <c r="A948" s="199"/>
      <c r="B948" s="199"/>
      <c r="C948" s="199"/>
      <c r="D948" s="199"/>
      <c r="E948" s="199"/>
      <c r="F948" s="205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</row>
    <row r="949" customFormat="false" ht="15" hidden="false" customHeight="false" outlineLevel="0" collapsed="false">
      <c r="A949" s="199"/>
      <c r="B949" s="199"/>
      <c r="C949" s="199"/>
      <c r="D949" s="199"/>
      <c r="E949" s="199"/>
      <c r="F949" s="205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</row>
    <row r="950" customFormat="false" ht="15" hidden="false" customHeight="false" outlineLevel="0" collapsed="false">
      <c r="A950" s="199"/>
      <c r="B950" s="199"/>
      <c r="C950" s="199"/>
      <c r="D950" s="199"/>
      <c r="E950" s="199"/>
      <c r="F950" s="205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</row>
    <row r="951" customFormat="false" ht="15" hidden="false" customHeight="false" outlineLevel="0" collapsed="false">
      <c r="A951" s="199"/>
      <c r="B951" s="199"/>
      <c r="C951" s="199"/>
      <c r="D951" s="199"/>
      <c r="E951" s="199"/>
      <c r="F951" s="205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</row>
    <row r="952" customFormat="false" ht="15" hidden="false" customHeight="false" outlineLevel="0" collapsed="false">
      <c r="A952" s="199"/>
      <c r="B952" s="199"/>
      <c r="C952" s="199"/>
      <c r="D952" s="199"/>
      <c r="E952" s="199"/>
      <c r="F952" s="205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</row>
    <row r="953" customFormat="false" ht="15" hidden="false" customHeight="false" outlineLevel="0" collapsed="false">
      <c r="A953" s="199"/>
      <c r="B953" s="199"/>
      <c r="C953" s="199"/>
      <c r="D953" s="199"/>
      <c r="E953" s="199"/>
      <c r="F953" s="205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</row>
    <row r="954" customFormat="false" ht="15" hidden="false" customHeight="false" outlineLevel="0" collapsed="false">
      <c r="A954" s="199"/>
      <c r="B954" s="199"/>
      <c r="C954" s="199"/>
      <c r="D954" s="199"/>
      <c r="E954" s="199"/>
      <c r="F954" s="205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</row>
    <row r="955" customFormat="false" ht="15" hidden="false" customHeight="false" outlineLevel="0" collapsed="false">
      <c r="A955" s="199"/>
      <c r="B955" s="199"/>
      <c r="C955" s="199"/>
      <c r="D955" s="199"/>
      <c r="E955" s="199"/>
      <c r="F955" s="205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</row>
    <row r="956" customFormat="false" ht="15" hidden="false" customHeight="false" outlineLevel="0" collapsed="false">
      <c r="A956" s="199"/>
      <c r="B956" s="199"/>
      <c r="C956" s="199"/>
      <c r="D956" s="199"/>
      <c r="E956" s="199"/>
      <c r="F956" s="205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</row>
    <row r="957" customFormat="false" ht="15" hidden="false" customHeight="false" outlineLevel="0" collapsed="false">
      <c r="A957" s="199"/>
      <c r="B957" s="199"/>
      <c r="C957" s="199"/>
      <c r="D957" s="199"/>
      <c r="E957" s="199"/>
      <c r="F957" s="205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</row>
    <row r="958" customFormat="false" ht="15" hidden="false" customHeight="false" outlineLevel="0" collapsed="false">
      <c r="A958" s="199"/>
      <c r="B958" s="199"/>
      <c r="C958" s="199"/>
      <c r="D958" s="199"/>
      <c r="E958" s="199"/>
      <c r="F958" s="205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</row>
    <row r="959" customFormat="false" ht="15" hidden="false" customHeight="false" outlineLevel="0" collapsed="false">
      <c r="A959" s="199"/>
      <c r="B959" s="199"/>
      <c r="C959" s="199"/>
      <c r="D959" s="199"/>
      <c r="E959" s="199"/>
      <c r="F959" s="205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</row>
    <row r="960" customFormat="false" ht="15" hidden="false" customHeight="false" outlineLevel="0" collapsed="false">
      <c r="A960" s="199"/>
      <c r="B960" s="199"/>
      <c r="C960" s="199"/>
      <c r="D960" s="199"/>
      <c r="E960" s="199"/>
      <c r="F960" s="205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</row>
    <row r="961" customFormat="false" ht="15" hidden="false" customHeight="false" outlineLevel="0" collapsed="false">
      <c r="A961" s="199"/>
      <c r="B961" s="199"/>
      <c r="C961" s="199"/>
      <c r="D961" s="199"/>
      <c r="E961" s="199"/>
      <c r="F961" s="205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</row>
    <row r="962" customFormat="false" ht="15" hidden="false" customHeight="false" outlineLevel="0" collapsed="false">
      <c r="A962" s="199"/>
      <c r="B962" s="199"/>
      <c r="C962" s="199"/>
      <c r="D962" s="199"/>
      <c r="E962" s="199"/>
      <c r="F962" s="205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</row>
    <row r="963" customFormat="false" ht="15" hidden="false" customHeight="false" outlineLevel="0" collapsed="false">
      <c r="A963" s="199"/>
      <c r="B963" s="199"/>
      <c r="C963" s="199"/>
      <c r="D963" s="199"/>
      <c r="E963" s="199"/>
      <c r="F963" s="205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</row>
    <row r="964" customFormat="false" ht="15" hidden="false" customHeight="false" outlineLevel="0" collapsed="false">
      <c r="A964" s="199"/>
      <c r="B964" s="199"/>
      <c r="C964" s="199"/>
      <c r="D964" s="199"/>
      <c r="E964" s="199"/>
      <c r="F964" s="205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</row>
    <row r="965" customFormat="false" ht="15" hidden="false" customHeight="false" outlineLevel="0" collapsed="false">
      <c r="A965" s="199"/>
      <c r="B965" s="199"/>
      <c r="C965" s="199"/>
      <c r="D965" s="199"/>
      <c r="E965" s="199"/>
      <c r="F965" s="205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</row>
    <row r="966" customFormat="false" ht="15" hidden="false" customHeight="false" outlineLevel="0" collapsed="false">
      <c r="A966" s="199"/>
      <c r="B966" s="199"/>
      <c r="C966" s="199"/>
      <c r="D966" s="199"/>
      <c r="E966" s="199"/>
      <c r="F966" s="205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</row>
    <row r="967" customFormat="false" ht="15" hidden="false" customHeight="false" outlineLevel="0" collapsed="false">
      <c r="A967" s="199"/>
      <c r="B967" s="199"/>
      <c r="C967" s="199"/>
      <c r="D967" s="199"/>
      <c r="E967" s="199"/>
      <c r="F967" s="205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</row>
    <row r="968" customFormat="false" ht="15" hidden="false" customHeight="false" outlineLevel="0" collapsed="false">
      <c r="A968" s="199"/>
      <c r="B968" s="199"/>
      <c r="C968" s="199"/>
      <c r="D968" s="199"/>
      <c r="E968" s="199"/>
      <c r="F968" s="205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</row>
    <row r="969" customFormat="false" ht="15" hidden="false" customHeight="false" outlineLevel="0" collapsed="false">
      <c r="A969" s="199"/>
      <c r="B969" s="199"/>
      <c r="C969" s="199"/>
      <c r="D969" s="199"/>
      <c r="E969" s="199"/>
      <c r="F969" s="205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</row>
    <row r="970" customFormat="false" ht="15" hidden="false" customHeight="false" outlineLevel="0" collapsed="false">
      <c r="A970" s="199"/>
      <c r="B970" s="199"/>
      <c r="C970" s="199"/>
      <c r="D970" s="199"/>
      <c r="E970" s="199"/>
      <c r="F970" s="205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</row>
    <row r="971" customFormat="false" ht="15" hidden="false" customHeight="false" outlineLevel="0" collapsed="false">
      <c r="A971" s="199"/>
      <c r="B971" s="199"/>
      <c r="C971" s="199"/>
      <c r="D971" s="199"/>
      <c r="E971" s="199"/>
      <c r="F971" s="205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</row>
    <row r="972" customFormat="false" ht="15" hidden="false" customHeight="false" outlineLevel="0" collapsed="false">
      <c r="A972" s="199"/>
      <c r="B972" s="199"/>
      <c r="C972" s="199"/>
      <c r="D972" s="199"/>
      <c r="E972" s="199"/>
      <c r="F972" s="205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</row>
    <row r="973" customFormat="false" ht="15" hidden="false" customHeight="false" outlineLevel="0" collapsed="false">
      <c r="A973" s="199"/>
      <c r="B973" s="199"/>
      <c r="C973" s="199"/>
      <c r="D973" s="199"/>
      <c r="E973" s="199"/>
      <c r="F973" s="205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</row>
    <row r="974" customFormat="false" ht="15" hidden="false" customHeight="false" outlineLevel="0" collapsed="false">
      <c r="A974" s="199"/>
      <c r="B974" s="199"/>
      <c r="C974" s="199"/>
      <c r="D974" s="199"/>
      <c r="E974" s="199"/>
      <c r="F974" s="205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</row>
    <row r="975" customFormat="false" ht="15" hidden="false" customHeight="false" outlineLevel="0" collapsed="false">
      <c r="A975" s="199"/>
      <c r="B975" s="199"/>
      <c r="C975" s="199"/>
      <c r="D975" s="199"/>
      <c r="E975" s="199"/>
      <c r="F975" s="205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</row>
    <row r="976" customFormat="false" ht="15" hidden="false" customHeight="false" outlineLevel="0" collapsed="false">
      <c r="A976" s="199"/>
      <c r="B976" s="199"/>
      <c r="C976" s="199"/>
      <c r="D976" s="199"/>
      <c r="E976" s="199"/>
      <c r="F976" s="205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</row>
    <row r="977" customFormat="false" ht="15" hidden="false" customHeight="false" outlineLevel="0" collapsed="false">
      <c r="A977" s="199"/>
      <c r="B977" s="199"/>
      <c r="C977" s="199"/>
      <c r="D977" s="199"/>
      <c r="E977" s="199"/>
      <c r="F977" s="205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</row>
    <row r="978" customFormat="false" ht="15" hidden="false" customHeight="false" outlineLevel="0" collapsed="false">
      <c r="A978" s="199"/>
      <c r="B978" s="199"/>
      <c r="C978" s="199"/>
      <c r="D978" s="199"/>
      <c r="E978" s="199"/>
      <c r="F978" s="205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</row>
    <row r="979" customFormat="false" ht="15" hidden="false" customHeight="false" outlineLevel="0" collapsed="false">
      <c r="A979" s="199"/>
      <c r="B979" s="199"/>
      <c r="C979" s="199"/>
      <c r="D979" s="199"/>
      <c r="E979" s="199"/>
      <c r="F979" s="205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</row>
    <row r="980" customFormat="false" ht="15" hidden="false" customHeight="false" outlineLevel="0" collapsed="false">
      <c r="A980" s="199"/>
      <c r="B980" s="199"/>
      <c r="C980" s="199"/>
      <c r="D980" s="199"/>
      <c r="E980" s="199"/>
      <c r="F980" s="205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</row>
    <row r="981" customFormat="false" ht="15" hidden="false" customHeight="false" outlineLevel="0" collapsed="false">
      <c r="A981" s="199"/>
      <c r="B981" s="199"/>
      <c r="C981" s="199"/>
      <c r="D981" s="199"/>
      <c r="E981" s="199"/>
      <c r="F981" s="205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</row>
    <row r="982" customFormat="false" ht="15" hidden="false" customHeight="false" outlineLevel="0" collapsed="false">
      <c r="A982" s="199"/>
      <c r="B982" s="199"/>
      <c r="C982" s="199"/>
      <c r="D982" s="199"/>
      <c r="E982" s="199"/>
      <c r="F982" s="205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</row>
    <row r="983" customFormat="false" ht="15" hidden="false" customHeight="false" outlineLevel="0" collapsed="false">
      <c r="A983" s="199"/>
      <c r="B983" s="199"/>
      <c r="C983" s="199"/>
      <c r="D983" s="199"/>
      <c r="E983" s="199"/>
      <c r="F983" s="205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</row>
    <row r="984" customFormat="false" ht="15" hidden="false" customHeight="false" outlineLevel="0" collapsed="false">
      <c r="A984" s="199"/>
      <c r="B984" s="199"/>
      <c r="C984" s="199"/>
      <c r="D984" s="199"/>
      <c r="E984" s="199"/>
      <c r="F984" s="205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</row>
    <row r="985" customFormat="false" ht="15" hidden="false" customHeight="false" outlineLevel="0" collapsed="false">
      <c r="A985" s="199"/>
      <c r="B985" s="199"/>
      <c r="C985" s="199"/>
      <c r="D985" s="199"/>
      <c r="E985" s="199"/>
      <c r="F985" s="205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</row>
    <row r="986" customFormat="false" ht="15" hidden="false" customHeight="false" outlineLevel="0" collapsed="false">
      <c r="A986" s="199"/>
      <c r="B986" s="199"/>
      <c r="C986" s="199"/>
      <c r="D986" s="199"/>
      <c r="E986" s="199"/>
      <c r="F986" s="205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</row>
    <row r="987" customFormat="false" ht="15" hidden="false" customHeight="false" outlineLevel="0" collapsed="false">
      <c r="A987" s="199"/>
      <c r="B987" s="199"/>
      <c r="C987" s="199"/>
      <c r="D987" s="199"/>
      <c r="E987" s="199"/>
      <c r="F987" s="205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</row>
    <row r="988" customFormat="false" ht="15" hidden="false" customHeight="false" outlineLevel="0" collapsed="false">
      <c r="A988" s="199"/>
      <c r="B988" s="199"/>
      <c r="C988" s="199"/>
      <c r="D988" s="199"/>
      <c r="E988" s="199"/>
      <c r="F988" s="205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</row>
    <row r="989" customFormat="false" ht="15" hidden="false" customHeight="false" outlineLevel="0" collapsed="false">
      <c r="A989" s="199"/>
      <c r="B989" s="199"/>
      <c r="C989" s="199"/>
      <c r="D989" s="199"/>
      <c r="E989" s="199"/>
      <c r="F989" s="205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</row>
    <row r="990" customFormat="false" ht="15" hidden="false" customHeight="false" outlineLevel="0" collapsed="false">
      <c r="A990" s="199"/>
      <c r="B990" s="199"/>
      <c r="C990" s="199"/>
      <c r="D990" s="199"/>
      <c r="E990" s="199"/>
      <c r="F990" s="205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</row>
    <row r="991" customFormat="false" ht="15" hidden="false" customHeight="false" outlineLevel="0" collapsed="false">
      <c r="A991" s="199"/>
      <c r="B991" s="199"/>
      <c r="C991" s="199"/>
      <c r="D991" s="199"/>
      <c r="E991" s="199"/>
      <c r="F991" s="205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</row>
    <row r="992" customFormat="false" ht="15" hidden="false" customHeight="false" outlineLevel="0" collapsed="false">
      <c r="A992" s="199"/>
      <c r="B992" s="199"/>
      <c r="C992" s="199"/>
      <c r="D992" s="199"/>
      <c r="E992" s="199"/>
      <c r="F992" s="205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</row>
    <row r="993" customFormat="false" ht="15" hidden="false" customHeight="false" outlineLevel="0" collapsed="false">
      <c r="A993" s="199"/>
      <c r="B993" s="199"/>
      <c r="C993" s="199"/>
      <c r="D993" s="199"/>
      <c r="E993" s="199"/>
      <c r="F993" s="205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</row>
    <row r="994" customFormat="false" ht="15" hidden="false" customHeight="false" outlineLevel="0" collapsed="false">
      <c r="A994" s="199"/>
      <c r="B994" s="199"/>
      <c r="C994" s="199"/>
      <c r="D994" s="199"/>
      <c r="E994" s="199"/>
      <c r="F994" s="205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</row>
    <row r="995" customFormat="false" ht="15" hidden="false" customHeight="false" outlineLevel="0" collapsed="false">
      <c r="A995" s="199"/>
      <c r="B995" s="199"/>
      <c r="C995" s="199"/>
      <c r="D995" s="199"/>
      <c r="E995" s="199"/>
      <c r="F995" s="205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</row>
    <row r="996" customFormat="false" ht="15" hidden="false" customHeight="false" outlineLevel="0" collapsed="false">
      <c r="A996" s="199"/>
      <c r="B996" s="199"/>
      <c r="C996" s="199"/>
      <c r="D996" s="199"/>
      <c r="E996" s="199"/>
      <c r="F996" s="205"/>
      <c r="G996" s="199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</row>
    <row r="997" customFormat="false" ht="15" hidden="false" customHeight="false" outlineLevel="0" collapsed="false">
      <c r="A997" s="199"/>
      <c r="B997" s="199"/>
      <c r="C997" s="199"/>
      <c r="D997" s="199"/>
      <c r="E997" s="199"/>
      <c r="F997" s="205"/>
      <c r="G997" s="199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</row>
    <row r="998" customFormat="false" ht="15" hidden="false" customHeight="false" outlineLevel="0" collapsed="false">
      <c r="A998" s="199"/>
      <c r="B998" s="199"/>
      <c r="C998" s="199"/>
      <c r="D998" s="199"/>
      <c r="E998" s="199"/>
      <c r="F998" s="205"/>
      <c r="G998" s="199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</row>
    <row r="999" customFormat="false" ht="15" hidden="false" customHeight="false" outlineLevel="0" collapsed="false">
      <c r="A999" s="199"/>
      <c r="B999" s="199"/>
      <c r="C999" s="199"/>
      <c r="D999" s="199"/>
      <c r="E999" s="199"/>
      <c r="F999" s="205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</row>
    <row r="1000" customFormat="false" ht="15" hidden="false" customHeight="false" outlineLevel="0" collapsed="false">
      <c r="A1000" s="199"/>
      <c r="B1000" s="199"/>
      <c r="C1000" s="199"/>
      <c r="D1000" s="199"/>
      <c r="E1000" s="199"/>
      <c r="F1000" s="205"/>
      <c r="G1000" s="199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5.75"/>
    <col collapsed="false" customWidth="true" hidden="false" outlineLevel="0" max="2" min="2" style="0" width="5.51"/>
    <col collapsed="false" customWidth="true" hidden="false" outlineLevel="0" max="3" min="3" style="0" width="24.88"/>
    <col collapsed="false" customWidth="true" hidden="false" outlineLevel="0" max="4" min="4" style="0" width="69.13"/>
    <col collapsed="false" customWidth="true" hidden="false" outlineLevel="0" max="5" min="5" style="0" width="24.51"/>
    <col collapsed="false" customWidth="true" hidden="false" outlineLevel="0" max="6" min="6" style="0" width="24.25"/>
  </cols>
  <sheetData>
    <row r="1" customFormat="false" ht="15" hidden="false" customHeight="false" outlineLevel="0" collapsed="false">
      <c r="A1" s="206" t="str">
        <f aca="false">IFERROR(__xludf.dummyfunction("IMPORTRANGE(""1NZaPiVqFzCwlmUq8LagadmqPKSiT9llb2c3OuwvzV-4"",""Obj PG!a1:o250"")"),"Nr. PDU")</f>
        <v>Nr. PDU</v>
      </c>
      <c r="B1" s="206" t="str">
        <f aca="false">IFERROR(__xludf.dummyfunction("""COMPUTED_VALUE"""),"Nr. Eixo")</f>
        <v>Nr. Eixo</v>
      </c>
      <c r="C1" s="206" t="str">
        <f aca="false">IFERROR(__xludf.dummyfunction("""COMPUTED_VALUE"""),"Eixo")</f>
        <v>Eixo</v>
      </c>
      <c r="D1" s="197" t="str">
        <f aca="false">IFERROR(__xludf.dummyfunction("""COMPUTED_VALUE"""),"Objetivo do PG")</f>
        <v>Objetivo do PG</v>
      </c>
      <c r="E1" s="206" t="str">
        <f aca="false">IFERROR(__xludf.dummyfunction("""COMPUTED_VALUE"""),"Dimensão")</f>
        <v>Dimensão</v>
      </c>
      <c r="F1" s="206" t="str">
        <f aca="false">IFERROR(__xludf.dummyfunction("""COMPUTED_VALUE"""),"Responsável")</f>
        <v>Responsável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customFormat="false" ht="15" hidden="false" customHeight="false" outlineLevel="0" collapsed="false">
      <c r="A2" s="200" t="str">
        <f aca="false">IFERROR(__xludf.dummyfunction("""COMPUTED_VALUE"""),"1.1")</f>
        <v>1.1</v>
      </c>
      <c r="B2" s="200" t="str">
        <f aca="false">IFERROR(__xludf.dummyfunction("""COMPUTED_VALUE"""),"1")</f>
        <v>1</v>
      </c>
      <c r="C2" s="207" t="str">
        <f aca="false">IFERROR(__xludf.dummyfunction("""COMPUTED_VALUE"""),"Planejamento e Avaliação Institucional")</f>
        <v>Planejamento e Avaliação Institucional</v>
      </c>
      <c r="D2" s="207" t="str">
        <f aca="false">IFERROR(__xludf.dummyfunction("""COMPUTED_VALUE"""),"Elaborar e implementar mecanismos para acompanhamento dos processos de avaliação interna e externa à UNILA e seus resultados relativos à graduação, à pós-graduação, à pesquisa, à extensão e à gestão;")</f>
        <v>Elaborar e implementar mecanismos para acompanhamento dos processos de avaliação interna e externa à UNILA e seus resultados relativos à graduação, à pós-graduação, à pesquisa, à extensão e à gestão;</v>
      </c>
      <c r="E2" s="207" t="str">
        <f aca="false">IFERROR(__xludf.dummyfunction("""COMPUTED_VALUE"""),"Planejamento e avaliação institucional")</f>
        <v>Planejamento e avaliação institucional</v>
      </c>
      <c r="F2" s="200" t="str">
        <f aca="false">IFERROR(__xludf.dummyfunction("""COMPUTED_VALUE"""),"GABINETE DA REITORIA (CIRI)")</f>
        <v>GABINETE DA REITORIA (CIRI)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customFormat="false" ht="15" hidden="false" customHeight="false" outlineLevel="0" collapsed="false">
      <c r="A3" s="200" t="str">
        <f aca="false">IFERROR(__xludf.dummyfunction("""COMPUTED_VALUE"""),"1.2")</f>
        <v>1.2</v>
      </c>
      <c r="B3" s="200" t="str">
        <f aca="false">IFERROR(__xludf.dummyfunction("""COMPUTED_VALUE"""),"1")</f>
        <v>1</v>
      </c>
      <c r="C3" s="207" t="str">
        <f aca="false">IFERROR(__xludf.dummyfunction("""COMPUTED_VALUE"""),"Planejamento e Avaliação Institucional")</f>
        <v>Planejamento e Avaliação Institucional</v>
      </c>
      <c r="D3" s="207" t="str">
        <f aca="false">IFERROR(__xludf.dummyfunction("""COMPUTED_VALUE"""),"Estabelecer critérios e indicadores acadêmicos, de gestão, de desenvolvimento institucional e de relevância social, econômica, ambiental e científica da UNILA;")</f>
        <v>Estabelecer critérios e indicadores acadêmicos, de gestão, de desenvolvimento institucional e de relevância social, econômica, ambiental e científica da UNILA;</v>
      </c>
      <c r="E3" s="207" t="str">
        <f aca="false">IFERROR(__xludf.dummyfunction("""COMPUTED_VALUE"""),"Planejamento e avaliação institucional")</f>
        <v>Planejamento e avaliação institucional</v>
      </c>
      <c r="F3" s="200" t="str">
        <f aca="false">IFERROR(__xludf.dummyfunction("""COMPUTED_VALUE"""),"GABINETE DA REITORIA / PROPLAN")</f>
        <v>GABINETE DA REITORIA / PROPLAN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customFormat="false" ht="15" hidden="false" customHeight="false" outlineLevel="0" collapsed="false">
      <c r="A4" s="200" t="str">
        <f aca="false">IFERROR(__xludf.dummyfunction("""COMPUTED_VALUE"""),"1.3")</f>
        <v>1.3</v>
      </c>
      <c r="B4" s="200" t="str">
        <f aca="false">IFERROR(__xludf.dummyfunction("""COMPUTED_VALUE"""),"1")</f>
        <v>1</v>
      </c>
      <c r="C4" s="207" t="str">
        <f aca="false">IFERROR(__xludf.dummyfunction("""COMPUTED_VALUE"""),"Planejamento e Avaliação Institucional")</f>
        <v>Planejamento e Avaliação Institucional</v>
      </c>
      <c r="D4" s="207" t="str">
        <f aca="false">IFERROR(__xludf.dummyfunction("""COMPUTED_VALUE"""),"Zelar para que os planejamentos das unidades coadunem com o Plano de Desenvolvimento Institucional e com o Plano de Gestão, de forma a cumprir a missão da UNILA e a avançar na qualidade acadêmica e no cumprimento de objetivos.")</f>
        <v>Zelar para que os planejamentos das unidades coadunem com o Plano de Desenvolvimento Institucional e com o Plano de Gestão, de forma a cumprir a missão da UNILA e a avançar na qualidade acadêmica e no cumprimento de objetivos.</v>
      </c>
      <c r="E4" s="207" t="str">
        <f aca="false">IFERROR(__xludf.dummyfunction("""COMPUTED_VALUE"""),"Planejamento e avaliação institucional")</f>
        <v>Planejamento e avaliação institucional</v>
      </c>
      <c r="F4" s="200" t="str">
        <f aca="false">IFERROR(__xludf.dummyfunction("""COMPUTED_VALUE"""),"GABINETE DA REITORIA / PROPLAN")</f>
        <v>GABINETE DA REITORIA / PROPLAN</v>
      </c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customFormat="false" ht="15" hidden="false" customHeight="false" outlineLevel="0" collapsed="false">
      <c r="A5" s="200" t="str">
        <f aca="false">IFERROR(__xludf.dummyfunction("""COMPUTED_VALUE"""),"2.1")</f>
        <v>2.1</v>
      </c>
      <c r="B5" s="200" t="str">
        <f aca="false">IFERROR(__xludf.dummyfunction("""COMPUTED_VALUE"""),"2")</f>
        <v>2</v>
      </c>
      <c r="C5" s="207" t="str">
        <f aca="false">IFERROR(__xludf.dummyfunction("""COMPUTED_VALUE"""),"Desenvolvimento Institucional")</f>
        <v>Desenvolvimento Institucional</v>
      </c>
      <c r="D5" s="207" t="str">
        <f aca="false">IFERROR(__xludf.dummyfunction("""COMPUTED_VALUE"""),"Consolidar uma rede de apoios políticos e institucionais que defendam o projeto internacionalista e integracionista da UNILA;")</f>
        <v>Consolidar uma rede de apoios políticos e institucionais que defendam o projeto internacionalista e integracionista da UNILA;</v>
      </c>
      <c r="E5" s="207" t="str">
        <f aca="false">IFERROR(__xludf.dummyfunction("""COMPUTED_VALUE"""),"A missão e o plano de desenvolvimento institucional (PDI)")</f>
        <v>A missão e o plano de desenvolvimento institucional (PDI)</v>
      </c>
      <c r="F5" s="200" t="str">
        <f aca="false">IFERROR(__xludf.dummyfunction("""COMPUTED_VALUE"""),"REITORIA / GB")</f>
        <v>REITORIA / GB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</row>
    <row r="6" customFormat="false" ht="15" hidden="false" customHeight="false" outlineLevel="0" collapsed="false">
      <c r="A6" s="200" t="str">
        <f aca="false">IFERROR(__xludf.dummyfunction("""COMPUTED_VALUE"""),"2.2")</f>
        <v>2.2</v>
      </c>
      <c r="B6" s="200" t="str">
        <f aca="false">IFERROR(__xludf.dummyfunction("""COMPUTED_VALUE"""),"2")</f>
        <v>2</v>
      </c>
      <c r="C6" s="207" t="str">
        <f aca="false">IFERROR(__xludf.dummyfunction("""COMPUTED_VALUE"""),"Desenvolvimento Institucional")</f>
        <v>Desenvolvimento Institucional</v>
      </c>
      <c r="D6" s="207" t="str">
        <f aca="false">IFERROR(__xludf.dummyfunction("""COMPUTED_VALUE"""),"Fortalecer a participação da UNILA em órgãos de representação colegiada da sociedade civil latino-americana, especialmente da Tríplice Fronteira;")</f>
        <v>Fortalecer a participação da UNILA em órgãos de representação colegiada da sociedade civil latino-americana, especialmente da Tríplice Fronteira;</v>
      </c>
      <c r="E6" s="207" t="str">
        <f aca="false">IFERROR(__xludf.dummyfunction("""COMPUTED_VALUE"""),"A missão e o plano de desenvolvimento institucional (PDI)")</f>
        <v>A missão e o plano de desenvolvimento institucional (PDI)</v>
      </c>
      <c r="F6" s="200" t="str">
        <f aca="false">IFERROR(__xludf.dummyfunction("""COMPUTED_VALUE"""),"REITORIA / GB")</f>
        <v>REITORIA / GB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</row>
    <row r="7" customFormat="false" ht="15" hidden="false" customHeight="false" outlineLevel="0" collapsed="false">
      <c r="A7" s="200" t="str">
        <f aca="false">IFERROR(__xludf.dummyfunction("""COMPUTED_VALUE"""),"2.3")</f>
        <v>2.3</v>
      </c>
      <c r="B7" s="200" t="str">
        <f aca="false">IFERROR(__xludf.dummyfunction("""COMPUTED_VALUE"""),"2")</f>
        <v>2</v>
      </c>
      <c r="C7" s="207" t="str">
        <f aca="false">IFERROR(__xludf.dummyfunction("""COMPUTED_VALUE"""),"Desenvolvimento Institucional")</f>
        <v>Desenvolvimento Institucional</v>
      </c>
      <c r="D7" s="207" t="str">
        <f aca="false">IFERROR(__xludf.dummyfunction("""COMPUTED_VALUE"""),"Criar e consolidar um programa entre unidades da UNILA, de divulgação da Universidade em outros países e junto ao Ministério de Relações Exteriores e ao Ministério da Educação;")</f>
        <v>Criar e consolidar um programa entre unidades da UNILA, de divulgação da Universidade em outros países e junto ao Ministério de Relações Exteriores e ao Ministério da Educação;</v>
      </c>
      <c r="E7" s="207" t="str">
        <f aca="false">IFERROR(__xludf.dummyfunction("""COMPUTED_VALUE"""),"A missão e o plano de desenvolvimento institucional (PDI)")</f>
        <v>A missão e o plano de desenvolvimento institucional (PDI)</v>
      </c>
      <c r="F7" s="200" t="str">
        <f aca="false">IFERROR(__xludf.dummyfunction("""COMPUTED_VALUE"""),"REITORIA / PROINT")</f>
        <v>REITORIA / PROINT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</row>
    <row r="8" customFormat="false" ht="15" hidden="false" customHeight="false" outlineLevel="0" collapsed="false">
      <c r="A8" s="200" t="str">
        <f aca="false">IFERROR(__xludf.dummyfunction("""COMPUTED_VALUE"""),"2.4")</f>
        <v>2.4</v>
      </c>
      <c r="B8" s="200" t="str">
        <f aca="false">IFERROR(__xludf.dummyfunction("""COMPUTED_VALUE"""),"2")</f>
        <v>2</v>
      </c>
      <c r="C8" s="207" t="str">
        <f aca="false">IFERROR(__xludf.dummyfunction("""COMPUTED_VALUE"""),"Desenvolvimento Institucional")</f>
        <v>Desenvolvimento Institucional</v>
      </c>
      <c r="D8" s="207" t="str">
        <f aca="false">IFERROR(__xludf.dummyfunction("""COMPUTED_VALUE"""),"Firmar parcerias com diferentes órgãos do Poder Público, visando a adequada implementação de politicas públicas nas regiões de atuação da UNILA;")</f>
        <v>Firmar parcerias com diferentes órgãos do Poder Público, visando a adequada implementação de politicas públicas nas regiões de atuação da UNILA;</v>
      </c>
      <c r="E8" s="207" t="str">
        <f aca="false">IFERROR(__xludf.dummyfunction("""COMPUTED_VALUE"""),"Responsabilidade social")</f>
        <v>Responsabilidade social</v>
      </c>
      <c r="F8" s="200" t="str">
        <f aca="false">IFERROR(__xludf.dummyfunction("""COMPUTED_VALUE"""),"REITORIA / GB")</f>
        <v>REITORIA / GB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</row>
    <row r="9" customFormat="false" ht="15" hidden="false" customHeight="false" outlineLevel="0" collapsed="false">
      <c r="A9" s="200" t="str">
        <f aca="false">IFERROR(__xludf.dummyfunction("""COMPUTED_VALUE"""),"2.5")</f>
        <v>2.5</v>
      </c>
      <c r="B9" s="200" t="str">
        <f aca="false">IFERROR(__xludf.dummyfunction("""COMPUTED_VALUE"""),"2")</f>
        <v>2</v>
      </c>
      <c r="C9" s="207" t="str">
        <f aca="false">IFERROR(__xludf.dummyfunction("""COMPUTED_VALUE"""),"Desenvolvimento Institucional")</f>
        <v>Desenvolvimento Institucional</v>
      </c>
      <c r="D9" s="207" t="str">
        <f aca="false">IFERROR(__xludf.dummyfunction("""COMPUTED_VALUE"""),"Consolidar o Instituto de Estudos Avançados – IMEA;")</f>
        <v>Consolidar o Instituto de Estudos Avançados – IMEA;</v>
      </c>
      <c r="E9" s="207" t="str">
        <f aca="false">IFERROR(__xludf.dummyfunction("""COMPUTED_VALUE"""),"A missão e o plano de desenvolvimento institucional (PDI)")</f>
        <v>A missão e o plano de desenvolvimento institucional (PDI)</v>
      </c>
      <c r="F9" s="200" t="str">
        <f aca="false">IFERROR(__xludf.dummyfunction("""COMPUTED_VALUE"""),"REITORIA / GB / EDUNILA")</f>
        <v>REITORIA / GB / EDUNILA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</row>
    <row r="10" customFormat="false" ht="15" hidden="false" customHeight="false" outlineLevel="0" collapsed="false">
      <c r="A10" s="200" t="str">
        <f aca="false">IFERROR(__xludf.dummyfunction("""COMPUTED_VALUE"""),"2.6")</f>
        <v>2.6</v>
      </c>
      <c r="B10" s="200" t="str">
        <f aca="false">IFERROR(__xludf.dummyfunction("""COMPUTED_VALUE"""),"2")</f>
        <v>2</v>
      </c>
      <c r="C10" s="207" t="str">
        <f aca="false">IFERROR(__xludf.dummyfunction("""COMPUTED_VALUE"""),"Desenvolvimento Institucional")</f>
        <v>Desenvolvimento Institucional</v>
      </c>
      <c r="D10" s="207" t="str">
        <f aca="false">IFERROR(__xludf.dummyfunction("""COMPUTED_VALUE"""),"Incentivar ações afirmativas, em parceria com diversas áreas da Universidade e / ou setores públicos;")</f>
        <v>Incentivar ações afirmativas, em parceria com diversas áreas da Universidade e / ou setores públicos;</v>
      </c>
      <c r="E10" s="207" t="str">
        <f aca="false">IFERROR(__xludf.dummyfunction("""COMPUTED_VALUE"""),"Responsabilidade social")</f>
        <v>Responsabilidade social</v>
      </c>
      <c r="F10" s="200" t="str">
        <f aca="false">IFERROR(__xludf.dummyfunction("""COMPUTED_VALUE"""),"REITORIA / GB")</f>
        <v>REITORIA / GB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</row>
    <row r="11" customFormat="false" ht="15" hidden="false" customHeight="false" outlineLevel="0" collapsed="false">
      <c r="A11" s="200" t="str">
        <f aca="false">IFERROR(__xludf.dummyfunction("""COMPUTED_VALUE"""),"2.7")</f>
        <v>2.7</v>
      </c>
      <c r="B11" s="200" t="str">
        <f aca="false">IFERROR(__xludf.dummyfunction("""COMPUTED_VALUE"""),"2")</f>
        <v>2</v>
      </c>
      <c r="C11" s="207" t="str">
        <f aca="false">IFERROR(__xludf.dummyfunction("""COMPUTED_VALUE"""),"Desenvolvimento Institucional")</f>
        <v>Desenvolvimento Institucional</v>
      </c>
      <c r="D11" s="207" t="str">
        <f aca="false">IFERROR(__xludf.dummyfunction("""COMPUTED_VALUE"""),"Instituir mecanismos de assessoramento voluntário por estudiosos especialistas em temas de responsabilidade socioambiental quando do desenvolvimento de ações pertinentes ao assunto;")</f>
        <v>Instituir mecanismos de assessoramento voluntário por estudiosos especialistas em temas de responsabilidade socioambiental quando do desenvolvimento de ações pertinentes ao assunto;</v>
      </c>
      <c r="E11" s="207" t="str">
        <f aca="false">IFERROR(__xludf.dummyfunction("""COMPUTED_VALUE"""),"Responsabilidade social")</f>
        <v>Responsabilidade social</v>
      </c>
      <c r="F11" s="200" t="str">
        <f aca="false">IFERROR(__xludf.dummyfunction("""COMPUTED_VALUE"""),"REITORIA / GB")</f>
        <v>REITORIA / GB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</row>
    <row r="12" customFormat="false" ht="15" hidden="false" customHeight="false" outlineLevel="0" collapsed="false">
      <c r="A12" s="200" t="str">
        <f aca="false">IFERROR(__xludf.dummyfunction("""COMPUTED_VALUE"""),"2.8")</f>
        <v>2.8</v>
      </c>
      <c r="B12" s="200" t="str">
        <f aca="false">IFERROR(__xludf.dummyfunction("""COMPUTED_VALUE"""),"2")</f>
        <v>2</v>
      </c>
      <c r="C12" s="207" t="str">
        <f aca="false">IFERROR(__xludf.dummyfunction("""COMPUTED_VALUE"""),"Desenvolvimento Institucional")</f>
        <v>Desenvolvimento Institucional</v>
      </c>
      <c r="D12" s="207" t="str">
        <f aca="false">IFERROR(__xludf.dummyfunction("""COMPUTED_VALUE"""),"Aprovar e implementar a política de ações afirmativas da UNILA;")</f>
        <v>Aprovar e implementar a política de ações afirmativas da UNILA;</v>
      </c>
      <c r="E12" s="207" t="str">
        <f aca="false">IFERROR(__xludf.dummyfunction("""COMPUTED_VALUE"""),"Responsabilidade social")</f>
        <v>Responsabilidade social</v>
      </c>
      <c r="F12" s="200" t="str">
        <f aca="false">IFERROR(__xludf.dummyfunction("""COMPUTED_VALUE"""),"REITORIA / GB")</f>
        <v>REITORIA / GB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</row>
    <row r="13" customFormat="false" ht="15" hidden="false" customHeight="false" outlineLevel="0" collapsed="false">
      <c r="A13" s="200" t="str">
        <f aca="false">IFERROR(__xludf.dummyfunction("""COMPUTED_VALUE"""),"2.9")</f>
        <v>2.9</v>
      </c>
      <c r="B13" s="200" t="str">
        <f aca="false">IFERROR(__xludf.dummyfunction("""COMPUTED_VALUE"""),"2")</f>
        <v>2</v>
      </c>
      <c r="C13" s="207" t="str">
        <f aca="false">IFERROR(__xludf.dummyfunction("""COMPUTED_VALUE"""),"Desenvolvimento Institucional")</f>
        <v>Desenvolvimento Institucional</v>
      </c>
      <c r="D13" s="207" t="str">
        <f aca="false">IFERROR(__xludf.dummyfunction("""COMPUTED_VALUE"""),"Apoiar e fomentar ações de apoio à acessibilidade e à inclusão de pessoas com deficiência;")</f>
        <v>Apoiar e fomentar ações de apoio à acessibilidade e à inclusão de pessoas com deficiência;</v>
      </c>
      <c r="E13" s="207" t="str">
        <f aca="false">IFERROR(__xludf.dummyfunction("""COMPUTED_VALUE"""),"Responsabilidade social")</f>
        <v>Responsabilidade social</v>
      </c>
      <c r="F13" s="200" t="str">
        <f aca="false">IFERROR(__xludf.dummyfunction("""COMPUTED_VALUE"""),"REITORIA / GB / PROGRAD / PRPPG / PROEX")</f>
        <v>REITORIA / GB / PROGRAD / PRPPG / PROEX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</row>
    <row r="14" customFormat="false" ht="15" hidden="false" customHeight="false" outlineLevel="0" collapsed="false">
      <c r="A14" s="200" t="str">
        <f aca="false">IFERROR(__xludf.dummyfunction("""COMPUTED_VALUE"""),"2.10")</f>
        <v>2.10</v>
      </c>
      <c r="B14" s="200" t="str">
        <f aca="false">IFERROR(__xludf.dummyfunction("""COMPUTED_VALUE"""),"2")</f>
        <v>2</v>
      </c>
      <c r="C14" s="207" t="str">
        <f aca="false">IFERROR(__xludf.dummyfunction("""COMPUTED_VALUE"""),"Desenvolvimento Institucional")</f>
        <v>Desenvolvimento Institucional</v>
      </c>
      <c r="D14" s="208" t="str">
        <f aca="false">IFERROR(__xludf.dummyfunction("""COMPUTED_VALUE"""),"Apoiar e fomentar ações relacionadas aos Objetivos de Desenvolvimento Sustentável – ODS postulados pela Organização das Nações Unidas;")</f>
        <v>Apoiar e fomentar ações relacionadas aos Objetivos de Desenvolvimento Sustentável – ODS postulados pela Organização das Nações Unidas;</v>
      </c>
      <c r="E14" s="207" t="str">
        <f aca="false">IFERROR(__xludf.dummyfunction("""COMPUTED_VALUE"""),"Responsabilidade social")</f>
        <v>Responsabilidade social</v>
      </c>
      <c r="F14" s="200" t="str">
        <f aca="false">IFERROR(__xludf.dummyfunction("""COMPUTED_VALUE"""),"REITORIA / GB")</f>
        <v>REITORIA / GB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</row>
    <row r="15" customFormat="false" ht="15" hidden="false" customHeight="false" outlineLevel="0" collapsed="false">
      <c r="A15" s="200" t="str">
        <f aca="false">IFERROR(__xludf.dummyfunction("""COMPUTED_VALUE"""),"2.11")</f>
        <v>2.11</v>
      </c>
      <c r="B15" s="200" t="str">
        <f aca="false">IFERROR(__xludf.dummyfunction("""COMPUTED_VALUE"""),"2")</f>
        <v>2</v>
      </c>
      <c r="C15" s="207" t="str">
        <f aca="false">IFERROR(__xludf.dummyfunction("""COMPUTED_VALUE"""),"Desenvolvimento Institucional")</f>
        <v>Desenvolvimento Institucional</v>
      </c>
      <c r="D15" s="207" t="str">
        <f aca="false">IFERROR(__xludf.dummyfunction("""COMPUTED_VALUE"""),"Promover e fomentar ações dedicadas à acessibilidade atitudinal;")</f>
        <v>Promover e fomentar ações dedicadas à acessibilidade atitudinal;</v>
      </c>
      <c r="E15" s="207" t="str">
        <f aca="false">IFERROR(__xludf.dummyfunction("""COMPUTED_VALUE"""),"Responsabilidade social")</f>
        <v>Responsabilidade social</v>
      </c>
      <c r="F15" s="200" t="str">
        <f aca="false">IFERROR(__xludf.dummyfunction("""COMPUTED_VALUE"""),"REITORIA / GB / PROGRAD / PRPPG / PROEX")</f>
        <v>REITORIA / GB / PROGRAD / PRPPG / PROEX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</row>
    <row r="16" customFormat="false" ht="15" hidden="false" customHeight="false" outlineLevel="0" collapsed="false">
      <c r="A16" s="200" t="str">
        <f aca="false">IFERROR(__xludf.dummyfunction("""COMPUTED_VALUE"""),"2.12")</f>
        <v>2.12</v>
      </c>
      <c r="B16" s="200" t="str">
        <f aca="false">IFERROR(__xludf.dummyfunction("""COMPUTED_VALUE"""),"2")</f>
        <v>2</v>
      </c>
      <c r="C16" s="207" t="str">
        <f aca="false">IFERROR(__xludf.dummyfunction("""COMPUTED_VALUE"""),"Desenvolvimento Institucional")</f>
        <v>Desenvolvimento Institucional</v>
      </c>
      <c r="D16" s="207" t="str">
        <f aca="false">IFERROR(__xludf.dummyfunction("""COMPUTED_VALUE"""),"Implementar a política de equidade de gênero.")</f>
        <v>Implementar a política de equidade de gênero.</v>
      </c>
      <c r="E16" s="207" t="str">
        <f aca="false">IFERROR(__xludf.dummyfunction("""COMPUTED_VALUE"""),"Responsabilidade social")</f>
        <v>Responsabilidade social</v>
      </c>
      <c r="F16" s="200" t="str">
        <f aca="false">IFERROR(__xludf.dummyfunction("""COMPUTED_VALUE"""),"REITORIA / GB")</f>
        <v>REITORIA / GB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</row>
    <row r="17" customFormat="false" ht="15" hidden="false" customHeight="false" outlineLevel="0" collapsed="false">
      <c r="A17" s="200" t="str">
        <f aca="false">IFERROR(__xludf.dummyfunction("""COMPUTED_VALUE"""),"2.13")</f>
        <v>2.13</v>
      </c>
      <c r="B17" s="200" t="str">
        <f aca="false">IFERROR(__xludf.dummyfunction("""COMPUTED_VALUE"""),"2")</f>
        <v>2</v>
      </c>
      <c r="C17" s="207" t="str">
        <f aca="false">IFERROR(__xludf.dummyfunction("""COMPUTED_VALUE"""),"Desenvolvimento Institucional")</f>
        <v>Desenvolvimento Institucional</v>
      </c>
      <c r="D17" s="207" t="str">
        <f aca="false">IFERROR(__xludf.dummyfunction("""COMPUTED_VALUE"""),"Avaliar e aprimorar Estatuto e Regimento Geral da UNILA;")</f>
        <v>Avaliar e aprimorar Estatuto e Regimento Geral da UNILA;</v>
      </c>
      <c r="E17" s="207" t="str">
        <f aca="false">IFERROR(__xludf.dummyfunction("""COMPUTED_VALUE"""),"A missão e o plano de desenvolvimento institucional (PDI)")</f>
        <v>A missão e o plano de desenvolvimento institucional (PDI)</v>
      </c>
      <c r="F17" s="200" t="str">
        <f aca="false">IFERROR(__xludf.dummyfunction("""COMPUTED_VALUE"""),"REITORIA / GB")</f>
        <v>REITORIA / GB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</row>
    <row r="18" customFormat="false" ht="15" hidden="false" customHeight="false" outlineLevel="0" collapsed="false">
      <c r="A18" s="200" t="str">
        <f aca="false">IFERROR(__xludf.dummyfunction("""COMPUTED_VALUE"""),"2.14")</f>
        <v>2.14</v>
      </c>
      <c r="B18" s="200" t="str">
        <f aca="false">IFERROR(__xludf.dummyfunction("""COMPUTED_VALUE"""),"2")</f>
        <v>2</v>
      </c>
      <c r="C18" s="207" t="str">
        <f aca="false">IFERROR(__xludf.dummyfunction("""COMPUTED_VALUE"""),"Desenvolvimento Institucional")</f>
        <v>Desenvolvimento Institucional</v>
      </c>
      <c r="D18" s="207" t="str">
        <f aca="false">IFERROR(__xludf.dummyfunction("""COMPUTED_VALUE"""),"Alinhar às mudanças estatutárias e regimentais os regulamentos inferiores a eles, inclusive regimentos de unidades acadêmicas e de conselhos de Institutos;")</f>
        <v>Alinhar às mudanças estatutárias e regimentais os regulamentos inferiores a eles, inclusive regimentos de unidades acadêmicas e de conselhos de Institutos;</v>
      </c>
      <c r="E18" s="207" t="str">
        <f aca="false">IFERROR(__xludf.dummyfunction("""COMPUTED_VALUE"""),"A missão e o plano de desenvolvimento institucional (PDI)")</f>
        <v>A missão e o plano de desenvolvimento institucional (PDI)</v>
      </c>
      <c r="F18" s="200" t="str">
        <f aca="false">IFERROR(__xludf.dummyfunction("""COMPUTED_VALUE"""),"REITORIA / GB")</f>
        <v>REITORIA / GB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</row>
    <row r="19" customFormat="false" ht="15" hidden="false" customHeight="false" outlineLevel="0" collapsed="false">
      <c r="A19" s="200" t="str">
        <f aca="false">IFERROR(__xludf.dummyfunction("""COMPUTED_VALUE"""),"3.1")</f>
        <v>3.1</v>
      </c>
      <c r="B19" s="200" t="str">
        <f aca="false">IFERROR(__xludf.dummyfunction("""COMPUTED_VALUE"""),"3")</f>
        <v>3</v>
      </c>
      <c r="C19" s="207" t="str">
        <f aca="false">IFERROR(__xludf.dummyfunction("""COMPUTED_VALUE"""),"Políticas Acadêmicas")</f>
        <v>Políticas Acadêmicas</v>
      </c>
      <c r="D19" s="207" t="str">
        <f aca="false">IFERROR(__xludf.dummyfunction("""COMPUTED_VALUE"""),"Elevar o número de estudantes da UNILA, com vistas a equalizar, em 50% (cinquenta por cento) os números de estudantes brasileiros e internacionais na UNILA;")</f>
        <v>Elevar o número de estudantes da UNILA, com vistas a equalizar, em 50% (cinquenta por cento) os números de estudantes brasileiros e internacionais na UNILA;</v>
      </c>
      <c r="E1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19" s="200" t="str">
        <f aca="false">IFERROR(__xludf.dummyfunction("""COMPUTED_VALUE"""),"PROGRAD / PROINT")</f>
        <v>PROGRAD / PROINT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</row>
    <row r="20" customFormat="false" ht="15" hidden="false" customHeight="false" outlineLevel="0" collapsed="false">
      <c r="A20" s="200" t="str">
        <f aca="false">IFERROR(__xludf.dummyfunction("""COMPUTED_VALUE"""),"3.2")</f>
        <v>3.2</v>
      </c>
      <c r="B20" s="200" t="str">
        <f aca="false">IFERROR(__xludf.dummyfunction("""COMPUTED_VALUE"""),"3")</f>
        <v>3</v>
      </c>
      <c r="C20" s="207" t="str">
        <f aca="false">IFERROR(__xludf.dummyfunction("""COMPUTED_VALUE"""),"Políticas Acadêmicas")</f>
        <v>Políticas Acadêmicas</v>
      </c>
      <c r="D20" s="207" t="str">
        <f aca="false">IFERROR(__xludf.dummyfunction("""COMPUTED_VALUE"""),"Realizar estudo sobre a adequação entre a ofertas de vagas e sua ociosidade em todos os cursos e programas;")</f>
        <v>Realizar estudo sobre a adequação entre a ofertas de vagas e sua ociosidade em todos os cursos e programas;</v>
      </c>
      <c r="E2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0" s="200" t="str">
        <f aca="false">IFERROR(__xludf.dummyfunction("""COMPUTED_VALUE"""),"PROGRAD / PRPPG")</f>
        <v>PROGRAD / PRPPG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</row>
    <row r="21" customFormat="false" ht="15" hidden="false" customHeight="false" outlineLevel="0" collapsed="false">
      <c r="A21" s="200" t="str">
        <f aca="false">IFERROR(__xludf.dummyfunction("""COMPUTED_VALUE"""),"3.3")</f>
        <v>3.3</v>
      </c>
      <c r="B21" s="200" t="str">
        <f aca="false">IFERROR(__xludf.dummyfunction("""COMPUTED_VALUE"""),"3")</f>
        <v>3</v>
      </c>
      <c r="C21" s="207" t="str">
        <f aca="false">IFERROR(__xludf.dummyfunction("""COMPUTED_VALUE"""),"Políticas Acadêmicas")</f>
        <v>Políticas Acadêmicas</v>
      </c>
      <c r="D21" s="207" t="str">
        <f aca="false">IFERROR(__xludf.dummyfunction("""COMPUTED_VALUE"""),"Implementar mudanças necessárias para diminuição do número de não ocupação de vagas e de evasão estudantil em cursos ou programas;")</f>
        <v>Implementar mudanças necessárias para diminuição do número de não ocupação de vagas e de evasão estudantil em cursos ou programas;</v>
      </c>
      <c r="E2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1" s="200" t="str">
        <f aca="false">IFERROR(__xludf.dummyfunction("""COMPUTED_VALUE"""),"PROGRAD / PRPPG")</f>
        <v>PROGRAD / PRPPG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</row>
    <row r="22" customFormat="false" ht="15" hidden="false" customHeight="false" outlineLevel="0" collapsed="false">
      <c r="A22" s="200" t="str">
        <f aca="false">IFERROR(__xludf.dummyfunction("""COMPUTED_VALUE"""),"3.4")</f>
        <v>3.4</v>
      </c>
      <c r="B22" s="200" t="str">
        <f aca="false">IFERROR(__xludf.dummyfunction("""COMPUTED_VALUE"""),"3")</f>
        <v>3</v>
      </c>
      <c r="C22" s="207" t="str">
        <f aca="false">IFERROR(__xludf.dummyfunction("""COMPUTED_VALUE"""),"Políticas Acadêmicas")</f>
        <v>Políticas Acadêmicas</v>
      </c>
      <c r="D22" s="207" t="str">
        <f aca="false">IFERROR(__xludf.dummyfunction("""COMPUTED_VALUE"""),"Promover a revisão das normativas relacionadas às seleções nacional e internacional de discentes, inclusive para alunos especiais e para ocupação de vagas remanescentes;")</f>
        <v>Promover a revisão das normativas relacionadas às seleções nacional e internacional de discentes, inclusive para alunos especiais e para ocupação de vagas remanescentes;</v>
      </c>
      <c r="E2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2" s="200" t="str">
        <f aca="false">IFERROR(__xludf.dummyfunction("""COMPUTED_VALUE"""),"PROGRAD / PROINT")</f>
        <v>PROGRAD / PROINT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</row>
    <row r="23" customFormat="false" ht="15" hidden="false" customHeight="false" outlineLevel="0" collapsed="false">
      <c r="A23" s="200" t="str">
        <f aca="false">IFERROR(__xludf.dummyfunction("""COMPUTED_VALUE"""),"3.5")</f>
        <v>3.5</v>
      </c>
      <c r="B23" s="200" t="str">
        <f aca="false">IFERROR(__xludf.dummyfunction("""COMPUTED_VALUE"""),"3")</f>
        <v>3</v>
      </c>
      <c r="C23" s="207" t="str">
        <f aca="false">IFERROR(__xludf.dummyfunction("""COMPUTED_VALUE"""),"Políticas Acadêmicas")</f>
        <v>Políticas Acadêmicas</v>
      </c>
      <c r="D23" s="207" t="str">
        <f aca="false">IFERROR(__xludf.dummyfunction("""COMPUTED_VALUE"""),"Estimular o planejamento e a implementação de reofertas sistemáticas de componentes curriculares com alto índice de reprovação, inclusive, sempre que possível, por meio da Educação a Distância;")</f>
        <v>Estimular o planejamento e a implementação de reofertas sistemáticas de componentes curriculares com alto índice de reprovação, inclusive, sempre que possível, por meio da Educação a Distância;</v>
      </c>
      <c r="E2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3" s="200" t="str">
        <f aca="false">IFERROR(__xludf.dummyfunction("""COMPUTED_VALUE"""),"PROGRAD")</f>
        <v>PROGRAD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</row>
    <row r="24" customFormat="false" ht="15" hidden="false" customHeight="false" outlineLevel="0" collapsed="false">
      <c r="A24" s="200" t="str">
        <f aca="false">IFERROR(__xludf.dummyfunction("""COMPUTED_VALUE"""),"3.6")</f>
        <v>3.6</v>
      </c>
      <c r="B24" s="200" t="str">
        <f aca="false">IFERROR(__xludf.dummyfunction("""COMPUTED_VALUE"""),"3")</f>
        <v>3</v>
      </c>
      <c r="C24" s="207" t="str">
        <f aca="false">IFERROR(__xludf.dummyfunction("""COMPUTED_VALUE"""),"Políticas Acadêmicas")</f>
        <v>Políticas Acadêmicas</v>
      </c>
      <c r="D24" s="207" t="str">
        <f aca="false">IFERROR(__xludf.dummyfunction("""COMPUTED_VALUE"""),"Estimular a oferta de monitorias e tutorias em componentes curriculares com maior número de reprovação;")</f>
        <v>Estimular a oferta de monitorias e tutorias em componentes curriculares com maior número de reprovação;</v>
      </c>
      <c r="E2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4" s="200" t="str">
        <f aca="false">IFERROR(__xludf.dummyfunction("""COMPUTED_VALUE"""),"PROGRAD")</f>
        <v>PROGRAD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</row>
    <row r="25" customFormat="false" ht="15" hidden="false" customHeight="false" outlineLevel="0" collapsed="false">
      <c r="A25" s="200" t="str">
        <f aca="false">IFERROR(__xludf.dummyfunction("""COMPUTED_VALUE"""),"3.7")</f>
        <v>3.7</v>
      </c>
      <c r="B25" s="200" t="str">
        <f aca="false">IFERROR(__xludf.dummyfunction("""COMPUTED_VALUE"""),"3")</f>
        <v>3</v>
      </c>
      <c r="C25" s="207" t="str">
        <f aca="false">IFERROR(__xludf.dummyfunction("""COMPUTED_VALUE"""),"Políticas Acadêmicas")</f>
        <v>Políticas Acadêmicas</v>
      </c>
      <c r="D25" s="207" t="str">
        <f aca="false">IFERROR(__xludf.dummyfunction("""COMPUTED_VALUE"""),"Institucionalizar ações que visem a articulação com a educação básica, bem como o fortalecimento daquelas já existentes (PIBID, Residência Pedagógica, entre outras);")</f>
        <v>Institucionalizar ações que visem a articulação com a educação básica, bem como o fortalecimento daquelas já existentes (PIBID, Residência Pedagógica, entre outras);</v>
      </c>
      <c r="E2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5" s="200" t="str">
        <f aca="false">IFERROR(__xludf.dummyfunction("""COMPUTED_VALUE"""),"PROGRAD")</f>
        <v>PROGRAD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</row>
    <row r="26" customFormat="false" ht="15" hidden="false" customHeight="false" outlineLevel="0" collapsed="false">
      <c r="A26" s="200" t="str">
        <f aca="false">IFERROR(__xludf.dummyfunction("""COMPUTED_VALUE"""),"3.8")</f>
        <v>3.8</v>
      </c>
      <c r="B26" s="200" t="str">
        <f aca="false">IFERROR(__xludf.dummyfunction("""COMPUTED_VALUE"""),"3")</f>
        <v>3</v>
      </c>
      <c r="C26" s="207" t="str">
        <f aca="false">IFERROR(__xludf.dummyfunction("""COMPUTED_VALUE"""),"Políticas Acadêmicas")</f>
        <v>Políticas Acadêmicas</v>
      </c>
      <c r="D26" s="207" t="str">
        <f aca="false">IFERROR(__xludf.dummyfunction("""COMPUTED_VALUE"""),"Estimular os cursos e programas a cumprirem requisitos que os habilitem à adesão ao Sistema de Acreditação de Carreiras Universitárias no Mercosul e Estados Associados – SISTEMA ARCU-SUR, Associação de Universidade Grupo Montevideo - AUGM e outros;")</f>
        <v>Estimular os cursos e programas a cumprirem requisitos que os habilitem à adesão ao Sistema de Acreditação de Carreiras Universitárias no Mercosul e Estados Associados – SISTEMA ARCU-SUR, Associação de Universidade Grupo Montevideo - AUGM e outros;</v>
      </c>
      <c r="E2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6" s="200" t="str">
        <f aca="false">IFERROR(__xludf.dummyfunction("""COMPUTED_VALUE"""),"PROGRAD / PRPPG")</f>
        <v>PROGRAD / PRPPG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</row>
    <row r="27" customFormat="false" ht="15" hidden="false" customHeight="false" outlineLevel="0" collapsed="false">
      <c r="A27" s="200" t="str">
        <f aca="false">IFERROR(__xludf.dummyfunction("""COMPUTED_VALUE"""),"3.9")</f>
        <v>3.9</v>
      </c>
      <c r="B27" s="200" t="str">
        <f aca="false">IFERROR(__xludf.dummyfunction("""COMPUTED_VALUE"""),"3")</f>
        <v>3</v>
      </c>
      <c r="C27" s="207" t="str">
        <f aca="false">IFERROR(__xludf.dummyfunction("""COMPUTED_VALUE"""),"Políticas Acadêmicas")</f>
        <v>Políticas Acadêmicas</v>
      </c>
      <c r="D27" s="207" t="str">
        <f aca="false">IFERROR(__xludf.dummyfunction("""COMPUTED_VALUE"""),"Dar visibilidade a práticas didático-pedagógicas inovadoras desenvolvidas pelos docentes da UNILA;")</f>
        <v>Dar visibilidade a práticas didático-pedagógicas inovadoras desenvolvidas pelos docentes da UNILA;</v>
      </c>
      <c r="E2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7" s="200" t="str">
        <f aca="false">IFERROR(__xludf.dummyfunction("""COMPUTED_VALUE"""),"PROGRAD")</f>
        <v>PROGRAD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</row>
    <row r="28" customFormat="false" ht="15" hidden="false" customHeight="false" outlineLevel="0" collapsed="false">
      <c r="A28" s="200" t="str">
        <f aca="false">IFERROR(__xludf.dummyfunction("""COMPUTED_VALUE"""),"3.10")</f>
        <v>3.10</v>
      </c>
      <c r="B28" s="200" t="str">
        <f aca="false">IFERROR(__xludf.dummyfunction("""COMPUTED_VALUE"""),"3")</f>
        <v>3</v>
      </c>
      <c r="C28" s="207" t="str">
        <f aca="false">IFERROR(__xludf.dummyfunction("""COMPUTED_VALUE"""),"Políticas Acadêmicas")</f>
        <v>Políticas Acadêmicas</v>
      </c>
      <c r="D28" s="207" t="str">
        <f aca="false">IFERROR(__xludf.dummyfunction("""COMPUTED_VALUE"""),"Estimular a adaptação de todos currículos de cursos e programas de forma a atenderem, concomitantemente, a legislação nacional e a facilitarem acordos internacionais para reconhecimento de diplomas emitidos pela UNILA;")</f>
        <v>Estimular a adaptação de todos currículos de cursos e programas de forma a atenderem, concomitantemente, a legislação nacional e a facilitarem acordos internacionais para reconhecimento de diplomas emitidos pela UNILA;</v>
      </c>
      <c r="E2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8" s="200" t="str">
        <f aca="false">IFERROR(__xludf.dummyfunction("""COMPUTED_VALUE"""),"PROGRAD / PRPPG / PROINT")</f>
        <v>PROGRAD / PRPPG / PROINT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</row>
    <row r="29" customFormat="false" ht="15" hidden="false" customHeight="false" outlineLevel="0" collapsed="false">
      <c r="A29" s="200" t="str">
        <f aca="false">IFERROR(__xludf.dummyfunction("""COMPUTED_VALUE"""),"3.11")</f>
        <v>3.11</v>
      </c>
      <c r="B29" s="200" t="str">
        <f aca="false">IFERROR(__xludf.dummyfunction("""COMPUTED_VALUE"""),"3")</f>
        <v>3</v>
      </c>
      <c r="C29" s="207" t="str">
        <f aca="false">IFERROR(__xludf.dummyfunction("""COMPUTED_VALUE"""),"Políticas Acadêmicas")</f>
        <v>Políticas Acadêmicas</v>
      </c>
      <c r="D29" s="207" t="str">
        <f aca="false">IFERROR(__xludf.dummyfunction("""COMPUTED_VALUE"""),"Estimular e promover a revisão de todas as matrizes curriculares dos cursos e programas com vistas à aproximação de sua carga horária às diretrizes curriculares nacionais ou à média de horas ofertadas em cursos similares em outras instituições públicas;")</f>
        <v>Estimular e promover a revisão de todas as matrizes curriculares dos cursos e programas com vistas à aproximação de sua carga horária às diretrizes curriculares nacionais ou à média de horas ofertadas em cursos similares em outras instituições públicas;</v>
      </c>
      <c r="E2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29" s="200" t="str">
        <f aca="false">IFERROR(__xludf.dummyfunction("""COMPUTED_VALUE"""),"PROGRAD / PRPPG")</f>
        <v>PROGRAD / PRPPG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</row>
    <row r="30" customFormat="false" ht="15" hidden="false" customHeight="false" outlineLevel="0" collapsed="false">
      <c r="A30" s="200" t="str">
        <f aca="false">IFERROR(__xludf.dummyfunction("""COMPUTED_VALUE"""),"3.12")</f>
        <v>3.12</v>
      </c>
      <c r="B30" s="200" t="str">
        <f aca="false">IFERROR(__xludf.dummyfunction("""COMPUTED_VALUE"""),"3")</f>
        <v>3</v>
      </c>
      <c r="C30" s="207" t="str">
        <f aca="false">IFERROR(__xludf.dummyfunction("""COMPUTED_VALUE"""),"Políticas Acadêmicas")</f>
        <v>Políticas Acadêmicas</v>
      </c>
      <c r="D30" s="207" t="str">
        <f aca="false">IFERROR(__xludf.dummyfunction("""COMPUTED_VALUE"""),"Adequar todas as matrizes curriculares dos cursos de graduação para que as atividades de extensão sejam computadas em suas cargas horárias, em porcentagem demandada pelo Plano Nacional de Educação – PNE e regulamentada pela Resolução MEC nº 07, e 18 de de"&amp;"zembro de 2018;")</f>
        <v>Adequar todas as matrizes curriculares dos cursos de graduação para que as atividades de extensão sejam computadas em suas cargas horárias, em porcentagem demandada pelo Plano Nacional de Educação – PNE e regulamentada pela Resolução MEC nº 07, e 18 de dezembro de 2018;</v>
      </c>
      <c r="E3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0" s="200" t="str">
        <f aca="false">IFERROR(__xludf.dummyfunction("""COMPUTED_VALUE"""),"PROGRAD / PROEX")</f>
        <v>PROGRAD / PROEX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</row>
    <row r="31" customFormat="false" ht="15" hidden="false" customHeight="false" outlineLevel="0" collapsed="false">
      <c r="A31" s="200" t="str">
        <f aca="false">IFERROR(__xludf.dummyfunction("""COMPUTED_VALUE"""),"3.13")</f>
        <v>3.13</v>
      </c>
      <c r="B31" s="200" t="str">
        <f aca="false">IFERROR(__xludf.dummyfunction("""COMPUTED_VALUE"""),"3")</f>
        <v>3</v>
      </c>
      <c r="C31" s="207" t="str">
        <f aca="false">IFERROR(__xludf.dummyfunction("""COMPUTED_VALUE"""),"Políticas Acadêmicas")</f>
        <v>Políticas Acadêmicas</v>
      </c>
      <c r="D31" s="207" t="str">
        <f aca="false">IFERROR(__xludf.dummyfunction("""COMPUTED_VALUE"""),"Estimular adaptações de currículos com vistas a, por meio da Educação a Distância, favorecerem a dupla titulação;")</f>
        <v>Estimular adaptações de currículos com vistas a, por meio da Educação a Distância, favorecerem a dupla titulação;</v>
      </c>
      <c r="E3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1" s="200" t="str">
        <f aca="false">IFERROR(__xludf.dummyfunction("""COMPUTED_VALUE"""),"PROGRAD / PROINT")</f>
        <v>PROGRAD / PROINT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</row>
    <row r="32" customFormat="false" ht="15" hidden="false" customHeight="false" outlineLevel="0" collapsed="false">
      <c r="A32" s="200" t="str">
        <f aca="false">IFERROR(__xludf.dummyfunction("""COMPUTED_VALUE"""),"3.14")</f>
        <v>3.14</v>
      </c>
      <c r="B32" s="200" t="str">
        <f aca="false">IFERROR(__xludf.dummyfunction("""COMPUTED_VALUE"""),"3")</f>
        <v>3</v>
      </c>
      <c r="C32" s="207" t="str">
        <f aca="false">IFERROR(__xludf.dummyfunction("""COMPUTED_VALUE"""),"Políticas Acadêmicas")</f>
        <v>Políticas Acadêmicas</v>
      </c>
      <c r="D32" s="207" t="str">
        <f aca="false">IFERROR(__xludf.dummyfunction("""COMPUTED_VALUE"""),"Aprovar e implementar programa de tutoria;")</f>
        <v>Aprovar e implementar programa de tutoria;</v>
      </c>
      <c r="E3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2" s="200" t="str">
        <f aca="false">IFERROR(__xludf.dummyfunction("""COMPUTED_VALUE"""),"PROGRAD")</f>
        <v>PROGRAD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</row>
    <row r="33" customFormat="false" ht="15" hidden="false" customHeight="false" outlineLevel="0" collapsed="false">
      <c r="A33" s="200" t="str">
        <f aca="false">IFERROR(__xludf.dummyfunction("""COMPUTED_VALUE"""),"3.15")</f>
        <v>3.15</v>
      </c>
      <c r="B33" s="200" t="str">
        <f aca="false">IFERROR(__xludf.dummyfunction("""COMPUTED_VALUE"""),"3")</f>
        <v>3</v>
      </c>
      <c r="C33" s="207" t="str">
        <f aca="false">IFERROR(__xludf.dummyfunction("""COMPUTED_VALUE"""),"Políticas Acadêmicas")</f>
        <v>Políticas Acadêmicas</v>
      </c>
      <c r="D33" s="207" t="str">
        <f aca="false">IFERROR(__xludf.dummyfunction("""COMPUTED_VALUE"""),"Estimular a oferta de projetos de ensino que instrumentalizem os discentes para a construção de seus trabalhos de conclusão de curso, dissertações e teses;")</f>
        <v>Estimular a oferta de projetos de ensino que instrumentalizem os discentes para a construção de seus trabalhos de conclusão de curso, dissertações e teses;</v>
      </c>
      <c r="E3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3" s="200" t="str">
        <f aca="false">IFERROR(__xludf.dummyfunction("""COMPUTED_VALUE"""),"PROGRAD")</f>
        <v>PROGRAD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</row>
    <row r="34" customFormat="false" ht="15" hidden="false" customHeight="false" outlineLevel="0" collapsed="false">
      <c r="A34" s="200" t="str">
        <f aca="false">IFERROR(__xludf.dummyfunction("""COMPUTED_VALUE"""),"3.16")</f>
        <v>3.16</v>
      </c>
      <c r="B34" s="200" t="str">
        <f aca="false">IFERROR(__xludf.dummyfunction("""COMPUTED_VALUE"""),"3")</f>
        <v>3</v>
      </c>
      <c r="C34" s="207" t="str">
        <f aca="false">IFERROR(__xludf.dummyfunction("""COMPUTED_VALUE"""),"Políticas Acadêmicas")</f>
        <v>Políticas Acadêmicas</v>
      </c>
      <c r="D34" s="207" t="str">
        <f aca="false">IFERROR(__xludf.dummyfunction("""COMPUTED_VALUE"""),"Criar programa de incentivo ao desenvolvimento de Objetos de Aprendizagem -OA e de material didático EaD;")</f>
        <v>Criar programa de incentivo ao desenvolvimento de Objetos de Aprendizagem -OA e de material didático EaD;</v>
      </c>
      <c r="E3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4" s="200" t="str">
        <f aca="false">IFERROR(__xludf.dummyfunction("""COMPUTED_VALUE"""),"PROGRAD")</f>
        <v>PROGRAD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</row>
    <row r="35" customFormat="false" ht="15" hidden="false" customHeight="false" outlineLevel="0" collapsed="false">
      <c r="A35" s="200" t="str">
        <f aca="false">IFERROR(__xludf.dummyfunction("""COMPUTED_VALUE"""),"3.17")</f>
        <v>3.17</v>
      </c>
      <c r="B35" s="200" t="str">
        <f aca="false">IFERROR(__xludf.dummyfunction("""COMPUTED_VALUE"""),"3")</f>
        <v>3</v>
      </c>
      <c r="C35" s="207" t="str">
        <f aca="false">IFERROR(__xludf.dummyfunction("""COMPUTED_VALUE"""),"Políticas Acadêmicas")</f>
        <v>Políticas Acadêmicas</v>
      </c>
      <c r="D35" s="207" t="str">
        <f aca="false">IFERROR(__xludf.dummyfunction("""COMPUTED_VALUE"""),"Regulamentar e implementar a oferta de programas, projetos, cursos, componentes curriculares e ações em EaD na UNILA;")</f>
        <v>Regulamentar e implementar a oferta de programas, projetos, cursos, componentes curriculares e ações em EaD na UNILA;</v>
      </c>
      <c r="E3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5" s="200" t="str">
        <f aca="false">IFERROR(__xludf.dummyfunction("""COMPUTED_VALUE"""),"PROGRAD / PROEX / PRPPG")</f>
        <v>PROGRAD / PROEX / PRPPG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</row>
    <row r="36" customFormat="false" ht="15" hidden="false" customHeight="false" outlineLevel="0" collapsed="false">
      <c r="A36" s="200" t="str">
        <f aca="false">IFERROR(__xludf.dummyfunction("""COMPUTED_VALUE"""),"3.18")</f>
        <v>3.18</v>
      </c>
      <c r="B36" s="200" t="str">
        <f aca="false">IFERROR(__xludf.dummyfunction("""COMPUTED_VALUE"""),"3")</f>
        <v>3</v>
      </c>
      <c r="C36" s="207" t="str">
        <f aca="false">IFERROR(__xludf.dummyfunction("""COMPUTED_VALUE"""),"Políticas Acadêmicas")</f>
        <v>Políticas Acadêmicas</v>
      </c>
      <c r="D36" s="207" t="str">
        <f aca="false">IFERROR(__xludf.dummyfunction("""COMPUTED_VALUE"""),"Implementar programa de formação / capacitação prévia a cada seleção para projetos de ensino, monitoria e tutoria, garantindo a livre adesão a eles;")</f>
        <v>Implementar programa de formação / capacitação prévia a cada seleção para projetos de ensino, monitoria e tutoria, garantindo a livre adesão a eles;</v>
      </c>
      <c r="E3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6" s="200" t="str">
        <f aca="false">IFERROR(__xludf.dummyfunction("""COMPUTED_VALUE"""),"PROGRAD")</f>
        <v>PROGRAD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</row>
    <row r="37" customFormat="false" ht="15" hidden="false" customHeight="false" outlineLevel="0" collapsed="false">
      <c r="A37" s="200" t="str">
        <f aca="false">IFERROR(__xludf.dummyfunction("""COMPUTED_VALUE"""),"3.19")</f>
        <v>3.19</v>
      </c>
      <c r="B37" s="200" t="str">
        <f aca="false">IFERROR(__xludf.dummyfunction("""COMPUTED_VALUE"""),"3")</f>
        <v>3</v>
      </c>
      <c r="C37" s="207" t="str">
        <f aca="false">IFERROR(__xludf.dummyfunction("""COMPUTED_VALUE"""),"Políticas Acadêmicas")</f>
        <v>Políticas Acadêmicas</v>
      </c>
      <c r="D37" s="207" t="str">
        <f aca="false">IFERROR(__xludf.dummyfunction("""COMPUTED_VALUE"""),"Estimular e fomentar a organização de interfaces de estágio entre cursos ofertados por diferentes unidades acadêmicas;")</f>
        <v>Estimular e fomentar a organização de interfaces de estágio entre cursos ofertados por diferentes unidades acadêmicas;</v>
      </c>
      <c r="E3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7" s="200" t="str">
        <f aca="false">IFERROR(__xludf.dummyfunction("""COMPUTED_VALUE"""),"PROGRAD")</f>
        <v>PROGRAD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</row>
    <row r="38" customFormat="false" ht="15" hidden="false" customHeight="false" outlineLevel="0" collapsed="false">
      <c r="A38" s="200" t="str">
        <f aca="false">IFERROR(__xludf.dummyfunction("""COMPUTED_VALUE"""),"3.20")</f>
        <v>3.20</v>
      </c>
      <c r="B38" s="200" t="str">
        <f aca="false">IFERROR(__xludf.dummyfunction("""COMPUTED_VALUE"""),"3")</f>
        <v>3</v>
      </c>
      <c r="C38" s="207" t="str">
        <f aca="false">IFERROR(__xludf.dummyfunction("""COMPUTED_VALUE"""),"Políticas Acadêmicas")</f>
        <v>Políticas Acadêmicas</v>
      </c>
      <c r="D38" s="207" t="str">
        <f aca="false">IFERROR(__xludf.dummyfunction("""COMPUTED_VALUE"""),"Fomentar ações e ofertas curriculares que estimulem o empreendedorismo, startups e empresas juniores;")</f>
        <v>Fomentar ações e ofertas curriculares que estimulem o empreendedorismo, startups e empresas juniores;</v>
      </c>
      <c r="E3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8" s="200" t="str">
        <f aca="false">IFERROR(__xludf.dummyfunction("""COMPUTED_VALUE"""),"PROGRAD / PRPPG / PROEX")</f>
        <v>PROGRAD / PRPPG / PROEX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</row>
    <row r="39" customFormat="false" ht="15" hidden="false" customHeight="false" outlineLevel="0" collapsed="false">
      <c r="A39" s="200" t="str">
        <f aca="false">IFERROR(__xludf.dummyfunction("""COMPUTED_VALUE"""),"3.21")</f>
        <v>3.21</v>
      </c>
      <c r="B39" s="200" t="str">
        <f aca="false">IFERROR(__xludf.dummyfunction("""COMPUTED_VALUE"""),"3")</f>
        <v>3</v>
      </c>
      <c r="C39" s="207" t="str">
        <f aca="false">IFERROR(__xludf.dummyfunction("""COMPUTED_VALUE"""),"Políticas Acadêmicas")</f>
        <v>Políticas Acadêmicas</v>
      </c>
      <c r="D39" s="207" t="str">
        <f aca="false">IFERROR(__xludf.dummyfunction("""COMPUTED_VALUE"""),"Prezar por ofertas curriculares que estimulem o pensamento crítico;")</f>
        <v>Prezar por ofertas curriculares que estimulem o pensamento crítico;</v>
      </c>
      <c r="E3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39" s="200" t="str">
        <f aca="false">IFERROR(__xludf.dummyfunction("""COMPUTED_VALUE"""),"PROGRAD")</f>
        <v>PROGRAD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</row>
    <row r="40" customFormat="false" ht="15" hidden="false" customHeight="false" outlineLevel="0" collapsed="false">
      <c r="A40" s="200" t="str">
        <f aca="false">IFERROR(__xludf.dummyfunction("""COMPUTED_VALUE"""),"3.22")</f>
        <v>3.22</v>
      </c>
      <c r="B40" s="200" t="str">
        <f aca="false">IFERROR(__xludf.dummyfunction("""COMPUTED_VALUE"""),"3")</f>
        <v>3</v>
      </c>
      <c r="C40" s="207" t="str">
        <f aca="false">IFERROR(__xludf.dummyfunction("""COMPUTED_VALUE"""),"Políticas Acadêmicas")</f>
        <v>Políticas Acadêmicas</v>
      </c>
      <c r="D40" s="207" t="str">
        <f aca="false">IFERROR(__xludf.dummyfunction("""COMPUTED_VALUE"""),"Ampliar a divulgação de vagas de estágio ofertadas;")</f>
        <v>Ampliar a divulgação de vagas de estágio ofertadas;</v>
      </c>
      <c r="E4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0" s="200" t="str">
        <f aca="false">IFERROR(__xludf.dummyfunction("""COMPUTED_VALUE"""),"PROGRAD")</f>
        <v>PROGRAD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</row>
    <row r="41" customFormat="false" ht="15" hidden="false" customHeight="false" outlineLevel="0" collapsed="false">
      <c r="A41" s="200" t="str">
        <f aca="false">IFERROR(__xludf.dummyfunction("""COMPUTED_VALUE"""),"3.23")</f>
        <v>3.23</v>
      </c>
      <c r="B41" s="200" t="str">
        <f aca="false">IFERROR(__xludf.dummyfunction("""COMPUTED_VALUE"""),"3")</f>
        <v>3</v>
      </c>
      <c r="C41" s="207" t="str">
        <f aca="false">IFERROR(__xludf.dummyfunction("""COMPUTED_VALUE"""),"Políticas Acadêmicas")</f>
        <v>Políticas Acadêmicas</v>
      </c>
      <c r="D41" s="207" t="str">
        <f aca="false">IFERROR(__xludf.dummyfunction("""COMPUTED_VALUE"""),"Ampliar a presença de debates latino-americanos em componentes curriculares específicos de cursos e programas;")</f>
        <v>Ampliar a presença de debates latino-americanos em componentes curriculares específicos de cursos e programas;</v>
      </c>
      <c r="E4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1" s="200" t="str">
        <f aca="false">IFERROR(__xludf.dummyfunction("""COMPUTED_VALUE"""),"PROGRAD / PRPPG")</f>
        <v>PROGRAD / PRPPG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</row>
    <row r="42" customFormat="false" ht="15" hidden="false" customHeight="false" outlineLevel="0" collapsed="false">
      <c r="A42" s="200" t="str">
        <f aca="false">IFERROR(__xludf.dummyfunction("""COMPUTED_VALUE"""),"3.24")</f>
        <v>3.24</v>
      </c>
      <c r="B42" s="200" t="str">
        <f aca="false">IFERROR(__xludf.dummyfunction("""COMPUTED_VALUE"""),"3")</f>
        <v>3</v>
      </c>
      <c r="C42" s="207" t="str">
        <f aca="false">IFERROR(__xludf.dummyfunction("""COMPUTED_VALUE"""),"Políticas Acadêmicas")</f>
        <v>Políticas Acadêmicas</v>
      </c>
      <c r="D42" s="207" t="str">
        <f aca="false">IFERROR(__xludf.dummyfunction("""COMPUTED_VALUE"""),"Zelar pela ampla articulação das temáticas tratadas no CCE com as formações profissionais pretendidas em cada carreira da UNILA e pelo letramento em língua adicional (português ou espanhol) dos discentes;")</f>
        <v>Zelar pela ampla articulação das temáticas tratadas no CCE com as formações profissionais pretendidas em cada carreira da UNILA e pelo letramento em língua adicional (português ou espanhol) dos discentes;</v>
      </c>
      <c r="E4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2" s="200" t="str">
        <f aca="false">IFERROR(__xludf.dummyfunction("""COMPUTED_VALUE"""),"PROGRAD")</f>
        <v>PROGRAD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</row>
    <row r="43" customFormat="false" ht="15" hidden="false" customHeight="false" outlineLevel="0" collapsed="false">
      <c r="A43" s="200" t="str">
        <f aca="false">IFERROR(__xludf.dummyfunction("""COMPUTED_VALUE"""),"3.25")</f>
        <v>3.25</v>
      </c>
      <c r="B43" s="200" t="str">
        <f aca="false">IFERROR(__xludf.dummyfunction("""COMPUTED_VALUE"""),"3")</f>
        <v>3</v>
      </c>
      <c r="C43" s="207" t="str">
        <f aca="false">IFERROR(__xludf.dummyfunction("""COMPUTED_VALUE"""),"Políticas Acadêmicas")</f>
        <v>Políticas Acadêmicas</v>
      </c>
      <c r="D43" s="207" t="str">
        <f aca="false">IFERROR(__xludf.dummyfunction("""COMPUTED_VALUE"""),"Fomentar o amplo debate sobre o Ciclo Comum de Estudos, escutando, continuamente, as áreas do conhecimento e as coordenações de curso;")</f>
        <v>Fomentar o amplo debate sobre o Ciclo Comum de Estudos, escutando, continuamente, as áreas do conhecimento e as coordenações de curso;</v>
      </c>
      <c r="E4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3" s="200" t="str">
        <f aca="false">IFERROR(__xludf.dummyfunction("""COMPUTED_VALUE"""),"PROGRAD")</f>
        <v>PROGRAD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</row>
    <row r="44" customFormat="false" ht="15" hidden="false" customHeight="false" outlineLevel="0" collapsed="false">
      <c r="A44" s="200" t="str">
        <f aca="false">IFERROR(__xludf.dummyfunction("""COMPUTED_VALUE"""),"3.26")</f>
        <v>3.26</v>
      </c>
      <c r="B44" s="200" t="str">
        <f aca="false">IFERROR(__xludf.dummyfunction("""COMPUTED_VALUE"""),"3")</f>
        <v>3</v>
      </c>
      <c r="C44" s="207" t="str">
        <f aca="false">IFERROR(__xludf.dummyfunction("""COMPUTED_VALUE"""),"Políticas Acadêmicas")</f>
        <v>Políticas Acadêmicas</v>
      </c>
      <c r="D44" s="207" t="str">
        <f aca="false">IFERROR(__xludf.dummyfunction("""COMPUTED_VALUE"""),"Avaliar e aprimorar normas, fluxos e procedimentos relacionados aos programas de apoio às atividades de ensino já estabelecidos na UNILA;")</f>
        <v>Avaliar e aprimorar normas, fluxos e procedimentos relacionados aos programas de apoio às atividades de ensino já estabelecidos na UNILA;</v>
      </c>
      <c r="E4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4" s="200" t="str">
        <f aca="false">IFERROR(__xludf.dummyfunction("""COMPUTED_VALUE"""),"PROGRAD")</f>
        <v>PROGRAD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</row>
    <row r="45" customFormat="false" ht="15" hidden="false" customHeight="false" outlineLevel="0" collapsed="false">
      <c r="A45" s="200" t="str">
        <f aca="false">IFERROR(__xludf.dummyfunction("""COMPUTED_VALUE"""),"3.27")</f>
        <v>3.27</v>
      </c>
      <c r="B45" s="200" t="str">
        <f aca="false">IFERROR(__xludf.dummyfunction("""COMPUTED_VALUE"""),"3")</f>
        <v>3</v>
      </c>
      <c r="C45" s="207" t="str">
        <f aca="false">IFERROR(__xludf.dummyfunction("""COMPUTED_VALUE"""),"Políticas Acadêmicas")</f>
        <v>Políticas Acadêmicas</v>
      </c>
      <c r="D45" s="207" t="str">
        <f aca="false">IFERROR(__xludf.dummyfunction("""COMPUTED_VALUE"""),"Aperfeiçoar e / ou publicar normas de registro e controle acadêmicos do ensino e diplomação;")</f>
        <v>Aperfeiçoar e / ou publicar normas de registro e controle acadêmicos do ensino e diplomação;</v>
      </c>
      <c r="E4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5" s="200" t="str">
        <f aca="false">IFERROR(__xludf.dummyfunction("""COMPUTED_VALUE"""),"PROGRAD")</f>
        <v>PROGRAD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</row>
    <row r="46" customFormat="false" ht="15" hidden="false" customHeight="false" outlineLevel="0" collapsed="false">
      <c r="A46" s="200" t="str">
        <f aca="false">IFERROR(__xludf.dummyfunction("""COMPUTED_VALUE"""),"3.28")</f>
        <v>3.28</v>
      </c>
      <c r="B46" s="200" t="str">
        <f aca="false">IFERROR(__xludf.dummyfunction("""COMPUTED_VALUE"""),"3")</f>
        <v>3</v>
      </c>
      <c r="C46" s="207" t="str">
        <f aca="false">IFERROR(__xludf.dummyfunction("""COMPUTED_VALUE"""),"Políticas Acadêmicas")</f>
        <v>Políticas Acadêmicas</v>
      </c>
      <c r="D46" s="207" t="str">
        <f aca="false">IFERROR(__xludf.dummyfunction("""COMPUTED_VALUE"""),"Construir e implementar a política de acompanhamento de estudantes egressos;")</f>
        <v>Construir e implementar a política de acompanhamento de estudantes egressos;</v>
      </c>
      <c r="E4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6" s="200" t="str">
        <f aca="false">IFERROR(__xludf.dummyfunction("""COMPUTED_VALUE"""),"PROGRAD")</f>
        <v>PROGRAD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</row>
    <row r="47" customFormat="false" ht="15" hidden="false" customHeight="false" outlineLevel="0" collapsed="false">
      <c r="A47" s="200" t="str">
        <f aca="false">IFERROR(__xludf.dummyfunction("""COMPUTED_VALUE"""),"3.29")</f>
        <v>3.29</v>
      </c>
      <c r="B47" s="200" t="str">
        <f aca="false">IFERROR(__xludf.dummyfunction("""COMPUTED_VALUE"""),"3")</f>
        <v>3</v>
      </c>
      <c r="C47" s="207" t="str">
        <f aca="false">IFERROR(__xludf.dummyfunction("""COMPUTED_VALUE"""),"Políticas Acadêmicas")</f>
        <v>Políticas Acadêmicas</v>
      </c>
      <c r="D47" s="207" t="str">
        <f aca="false">IFERROR(__xludf.dummyfunction("""COMPUTED_VALUE"""),"Construir e implementar programa de fluxo contínuo para a orientação de docentes quanto à realização de adaptações destinadas ao atendimento de todas as pessoas com deficiência matriculadas na UNILA;")</f>
        <v>Construir e implementar programa de fluxo contínuo para a orientação de docentes quanto à realização de adaptações destinadas ao atendimento de todas as pessoas com deficiência matriculadas na UNILA;</v>
      </c>
      <c r="E4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7" s="200" t="str">
        <f aca="false">IFERROR(__xludf.dummyfunction("""COMPUTED_VALUE"""),"PROGRAD")</f>
        <v>PROGRAD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</row>
    <row r="48" customFormat="false" ht="15" hidden="false" customHeight="false" outlineLevel="0" collapsed="false">
      <c r="A48" s="200" t="str">
        <f aca="false">IFERROR(__xludf.dummyfunction("""COMPUTED_VALUE"""),"3.30")</f>
        <v>3.30</v>
      </c>
      <c r="B48" s="200" t="str">
        <f aca="false">IFERROR(__xludf.dummyfunction("""COMPUTED_VALUE"""),"3")</f>
        <v>3</v>
      </c>
      <c r="C48" s="207" t="str">
        <f aca="false">IFERROR(__xludf.dummyfunction("""COMPUTED_VALUE"""),"Políticas Acadêmicas")</f>
        <v>Políticas Acadêmicas</v>
      </c>
      <c r="D48" s="207" t="str">
        <f aca="false">IFERROR(__xludf.dummyfunction("""COMPUTED_VALUE"""),"Implementar e realizar ações para fortalecer a EaD na UNILA;")</f>
        <v>Implementar e realizar ações para fortalecer a EaD na UNILA;</v>
      </c>
      <c r="E4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8" s="200" t="str">
        <f aca="false">IFERROR(__xludf.dummyfunction("""COMPUTED_VALUE"""),"PROGRAD")</f>
        <v>PROGRAD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</row>
    <row r="49" customFormat="false" ht="15" hidden="false" customHeight="false" outlineLevel="0" collapsed="false">
      <c r="A49" s="200" t="str">
        <f aca="false">IFERROR(__xludf.dummyfunction("""COMPUTED_VALUE"""),"3.31")</f>
        <v>3.31</v>
      </c>
      <c r="B49" s="200" t="str">
        <f aca="false">IFERROR(__xludf.dummyfunction("""COMPUTED_VALUE"""),"3")</f>
        <v>3</v>
      </c>
      <c r="C49" s="207" t="str">
        <f aca="false">IFERROR(__xludf.dummyfunction("""COMPUTED_VALUE"""),"Políticas Acadêmicas")</f>
        <v>Políticas Acadêmicas</v>
      </c>
      <c r="D49" s="207" t="str">
        <f aca="false">IFERROR(__xludf.dummyfunction("""COMPUTED_VALUE"""),"Implantar o Fórum de Programas de Pós-Graduação e o Fórum de Coordenadores de Graduação, com vistas à realização periódica de encontros formativos e / ou reuniões de trabalho com as coordenações acadêmicas;")</f>
        <v>Implantar o Fórum de Programas de Pós-Graduação e o Fórum de Coordenadores de Graduação, com vistas à realização periódica de encontros formativos e / ou reuniões de trabalho com as coordenações acadêmicas;</v>
      </c>
      <c r="E4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49" s="200" t="str">
        <f aca="false">IFERROR(__xludf.dummyfunction("""COMPUTED_VALUE"""),"PROGRAD / PRPPG")</f>
        <v>PROGRAD / PRPPG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</row>
    <row r="50" customFormat="false" ht="15" hidden="false" customHeight="false" outlineLevel="0" collapsed="false">
      <c r="A50" s="200" t="str">
        <f aca="false">IFERROR(__xludf.dummyfunction("""COMPUTED_VALUE"""),"3.32")</f>
        <v>3.32</v>
      </c>
      <c r="B50" s="200" t="str">
        <f aca="false">IFERROR(__xludf.dummyfunction("""COMPUTED_VALUE"""),"3")</f>
        <v>3</v>
      </c>
      <c r="C50" s="207" t="str">
        <f aca="false">IFERROR(__xludf.dummyfunction("""COMPUTED_VALUE"""),"Políticas Acadêmicas")</f>
        <v>Políticas Acadêmicas</v>
      </c>
      <c r="D50" s="207" t="str">
        <f aca="false">IFERROR(__xludf.dummyfunction("""COMPUTED_VALUE"""),"Fomentar programas, projetos e ações de inovação didático-pedagógicas no âmbito da UNILA, de estímulo ao uso de tecnologias no ensino da UNILA, bem como na educação básica e no ensino superior de modo geral;")</f>
        <v>Fomentar programas, projetos e ações de inovação didático-pedagógicas no âmbito da UNILA, de estímulo ao uso de tecnologias no ensino da UNILA, bem como na educação básica e no ensino superior de modo geral;</v>
      </c>
      <c r="E5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0" s="200" t="str">
        <f aca="false">IFERROR(__xludf.dummyfunction("""COMPUTED_VALUE"""),"PROGRAD")</f>
        <v>PROGRAD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</row>
    <row r="51" customFormat="false" ht="15" hidden="false" customHeight="false" outlineLevel="0" collapsed="false">
      <c r="A51" s="200" t="str">
        <f aca="false">IFERROR(__xludf.dummyfunction("""COMPUTED_VALUE"""),"3.33")</f>
        <v>3.33</v>
      </c>
      <c r="B51" s="200" t="str">
        <f aca="false">IFERROR(__xludf.dummyfunction("""COMPUTED_VALUE"""),"3")</f>
        <v>3</v>
      </c>
      <c r="C51" s="207" t="str">
        <f aca="false">IFERROR(__xludf.dummyfunction("""COMPUTED_VALUE"""),"Políticas Acadêmicas")</f>
        <v>Políticas Acadêmicas</v>
      </c>
      <c r="D51" s="207" t="str">
        <f aca="false">IFERROR(__xludf.dummyfunction("""COMPUTED_VALUE"""),"Fomentar editais que estimulem apresentações e / ou concursos, inovações didático-pedagógicas;")</f>
        <v>Fomentar editais que estimulem apresentações e / ou concursos, inovações didático-pedagógicas;</v>
      </c>
      <c r="E5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1" s="200" t="str">
        <f aca="false">IFERROR(__xludf.dummyfunction("""COMPUTED_VALUE"""),"PROGRAD")</f>
        <v>PROGRAD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customFormat="false" ht="15" hidden="false" customHeight="false" outlineLevel="0" collapsed="false">
      <c r="A52" s="200" t="str">
        <f aca="false">IFERROR(__xludf.dummyfunction("""COMPUTED_VALUE"""),"3.34")</f>
        <v>3.34</v>
      </c>
      <c r="B52" s="200" t="str">
        <f aca="false">IFERROR(__xludf.dummyfunction("""COMPUTED_VALUE"""),"3")</f>
        <v>3</v>
      </c>
      <c r="C52" s="207" t="str">
        <f aca="false">IFERROR(__xludf.dummyfunction("""COMPUTED_VALUE"""),"Políticas Acadêmicas")</f>
        <v>Políticas Acadêmicas</v>
      </c>
      <c r="D52" s="207" t="str">
        <f aca="false">IFERROR(__xludf.dummyfunction("""COMPUTED_VALUE"""),"Ofertar cursos e programas nos turnos definidos em seus projetos pedagógicos;")</f>
        <v>Ofertar cursos e programas nos turnos definidos em seus projetos pedagógicos;</v>
      </c>
      <c r="E5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2" s="200" t="str">
        <f aca="false">IFERROR(__xludf.dummyfunction("""COMPUTED_VALUE"""),"PROGRAD / PRPPG")</f>
        <v>PROGRAD / PRPPG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</row>
    <row r="53" customFormat="false" ht="15" hidden="false" customHeight="false" outlineLevel="0" collapsed="false">
      <c r="A53" s="200" t="str">
        <f aca="false">IFERROR(__xludf.dummyfunction("""COMPUTED_VALUE"""),"3.35")</f>
        <v>3.35</v>
      </c>
      <c r="B53" s="200" t="str">
        <f aca="false">IFERROR(__xludf.dummyfunction("""COMPUTED_VALUE"""),"3")</f>
        <v>3</v>
      </c>
      <c r="C53" s="207" t="str">
        <f aca="false">IFERROR(__xludf.dummyfunction("""COMPUTED_VALUE"""),"Políticas Acadêmicas")</f>
        <v>Políticas Acadêmicas</v>
      </c>
      <c r="D53" s="207" t="str">
        <f aca="false">IFERROR(__xludf.dummyfunction("""COMPUTED_VALUE"""),"Oferecer cursos gratuitos, inclusive EaD, para disseminação do conhecimento desenvolvido na Universidade;")</f>
        <v>Oferecer cursos gratuitos, inclusive EaD, para disseminação do conhecimento desenvolvido na Universidade;</v>
      </c>
      <c r="E5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3" s="200" t="str">
        <f aca="false">IFERROR(__xludf.dummyfunction("""COMPUTED_VALUE"""),"PROGRAD / PRPPG / PROEX")</f>
        <v>PROGRAD / PRPPG / PROEX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customFormat="false" ht="15" hidden="false" customHeight="false" outlineLevel="0" collapsed="false">
      <c r="A54" s="200" t="str">
        <f aca="false">IFERROR(__xludf.dummyfunction("""COMPUTED_VALUE"""),"3.36")</f>
        <v>3.36</v>
      </c>
      <c r="B54" s="200" t="str">
        <f aca="false">IFERROR(__xludf.dummyfunction("""COMPUTED_VALUE"""),"3")</f>
        <v>3</v>
      </c>
      <c r="C54" s="207" t="str">
        <f aca="false">IFERROR(__xludf.dummyfunction("""COMPUTED_VALUE"""),"Políticas Acadêmicas")</f>
        <v>Políticas Acadêmicas</v>
      </c>
      <c r="D54" s="207" t="str">
        <f aca="false">IFERROR(__xludf.dummyfunction("""COMPUTED_VALUE"""),"Estimular e fomentar a realização de semanas acadêmicas;")</f>
        <v>Estimular e fomentar a realização de semanas acadêmicas;</v>
      </c>
      <c r="E5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4" s="200" t="str">
        <f aca="false">IFERROR(__xludf.dummyfunction("""COMPUTED_VALUE"""),"PROGRAD")</f>
        <v>PROGRAD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</row>
    <row r="55" customFormat="false" ht="15" hidden="false" customHeight="false" outlineLevel="0" collapsed="false">
      <c r="A55" s="200" t="str">
        <f aca="false">IFERROR(__xludf.dummyfunction("""COMPUTED_VALUE"""),"3.37")</f>
        <v>3.37</v>
      </c>
      <c r="B55" s="200" t="str">
        <f aca="false">IFERROR(__xludf.dummyfunction("""COMPUTED_VALUE"""),"3")</f>
        <v>3</v>
      </c>
      <c r="C55" s="207" t="str">
        <f aca="false">IFERROR(__xludf.dummyfunction("""COMPUTED_VALUE"""),"Políticas Acadêmicas")</f>
        <v>Políticas Acadêmicas</v>
      </c>
      <c r="D55" s="207" t="str">
        <f aca="false">IFERROR(__xludf.dummyfunction("""COMPUTED_VALUE"""),"Implementar a EaD com vistas ao fortalecimento institucional da UNILA no Brasil e no exterior.")</f>
        <v>Implementar a EaD com vistas ao fortalecimento institucional da UNILA no Brasil e no exterior.</v>
      </c>
      <c r="E5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5" s="200" t="str">
        <f aca="false">IFERROR(__xludf.dummyfunction("""COMPUTED_VALUE"""),"PROGRAD")</f>
        <v>PROGRAD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customFormat="false" ht="15" hidden="false" customHeight="false" outlineLevel="0" collapsed="false">
      <c r="A56" s="200" t="str">
        <f aca="false">IFERROR(__xludf.dummyfunction("""COMPUTED_VALUE"""),"3.38")</f>
        <v>3.38</v>
      </c>
      <c r="B56" s="200" t="str">
        <f aca="false">IFERROR(__xludf.dummyfunction("""COMPUTED_VALUE"""),"3")</f>
        <v>3</v>
      </c>
      <c r="C56" s="207" t="str">
        <f aca="false">IFERROR(__xludf.dummyfunction("""COMPUTED_VALUE"""),"Políticas Acadêmicas")</f>
        <v>Políticas Acadêmicas</v>
      </c>
      <c r="D56" s="207" t="str">
        <f aca="false">IFERROR(__xludf.dummyfunction("""COMPUTED_VALUE"""),"Implementar, acompanhar e propor adaptações necessárias para a política de internacionalização da UNILA, realizando, caso necessárias, adequações;")</f>
        <v>Implementar, acompanhar e propor adaptações necessárias para a política de internacionalização da UNILA, realizando, caso necessárias, adequações;</v>
      </c>
      <c r="E5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6" s="200" t="str">
        <f aca="false">IFERROR(__xludf.dummyfunction("""COMPUTED_VALUE"""),"PROGRAD / PRPPG / PROINT")</f>
        <v>PROGRAD / PRPPG / PROINT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</row>
    <row r="57" customFormat="false" ht="15" hidden="false" customHeight="false" outlineLevel="0" collapsed="false">
      <c r="A57" s="200" t="str">
        <f aca="false">IFERROR(__xludf.dummyfunction("""COMPUTED_VALUE"""),"3.39")</f>
        <v>3.39</v>
      </c>
      <c r="B57" s="200" t="str">
        <f aca="false">IFERROR(__xludf.dummyfunction("""COMPUTED_VALUE"""),"3")</f>
        <v>3</v>
      </c>
      <c r="C57" s="207" t="str">
        <f aca="false">IFERROR(__xludf.dummyfunction("""COMPUTED_VALUE"""),"Políticas Acadêmicas")</f>
        <v>Políticas Acadêmicas</v>
      </c>
      <c r="D57" s="207" t="str">
        <f aca="false">IFERROR(__xludf.dummyfunction("""COMPUTED_VALUE"""),"Aprovar e implementar política de revalidação de diplomas pela UNILA;")</f>
        <v>Aprovar e implementar política de revalidação de diplomas pela UNILA;</v>
      </c>
      <c r="E5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7" s="200" t="str">
        <f aca="false">IFERROR(__xludf.dummyfunction("""COMPUTED_VALUE"""),"PROGRAD / PRPPG / PROINT")</f>
        <v>PROGRAD / PRPPG / PROINT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customFormat="false" ht="15" hidden="false" customHeight="false" outlineLevel="0" collapsed="false">
      <c r="A58" s="200" t="str">
        <f aca="false">IFERROR(__xludf.dummyfunction("""COMPUTED_VALUE"""),"3.40")</f>
        <v>3.40</v>
      </c>
      <c r="B58" s="200" t="str">
        <f aca="false">IFERROR(__xludf.dummyfunction("""COMPUTED_VALUE"""),"3")</f>
        <v>3</v>
      </c>
      <c r="C58" s="207" t="str">
        <f aca="false">IFERROR(__xludf.dummyfunction("""COMPUTED_VALUE"""),"Políticas Acadêmicas")</f>
        <v>Políticas Acadêmicas</v>
      </c>
      <c r="D58" s="207" t="str">
        <f aca="false">IFERROR(__xludf.dummyfunction("""COMPUTED_VALUE"""),"Aumentar a participação da UNILA em redes de universidades internacionais, inclusive relacionadas à modalidade EaD;")</f>
        <v>Aumentar a participação da UNILA em redes de universidades internacionais, inclusive relacionadas à modalidade EaD;</v>
      </c>
      <c r="E5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8" s="200" t="str">
        <f aca="false">IFERROR(__xludf.dummyfunction("""COMPUTED_VALUE"""),"PROGRAD / PRPPG / PROINT")</f>
        <v>PROGRAD / PRPPG / PROINT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  <row r="59" customFormat="false" ht="15" hidden="false" customHeight="false" outlineLevel="0" collapsed="false">
      <c r="A59" s="200" t="str">
        <f aca="false">IFERROR(__xludf.dummyfunction("""COMPUTED_VALUE"""),"3.41")</f>
        <v>3.41</v>
      </c>
      <c r="B59" s="200" t="str">
        <f aca="false">IFERROR(__xludf.dummyfunction("""COMPUTED_VALUE"""),"3")</f>
        <v>3</v>
      </c>
      <c r="C59" s="207" t="str">
        <f aca="false">IFERROR(__xludf.dummyfunction("""COMPUTED_VALUE"""),"Políticas Acadêmicas")</f>
        <v>Políticas Acadêmicas</v>
      </c>
      <c r="D59" s="207" t="str">
        <f aca="false">IFERROR(__xludf.dummyfunction("""COMPUTED_VALUE"""),"Fortalecer as ações de mobilidade acadêmica de discentes e docentes;")</f>
        <v>Fortalecer as ações de mobilidade acadêmica de discentes e docentes;</v>
      </c>
      <c r="E5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59" s="200" t="str">
        <f aca="false">IFERROR(__xludf.dummyfunction("""COMPUTED_VALUE"""),"PROGRAD / PRPPG / PROINT")</f>
        <v>PROGRAD / PRPPG / PROINT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  <row r="60" customFormat="false" ht="15" hidden="false" customHeight="false" outlineLevel="0" collapsed="false">
      <c r="A60" s="200" t="str">
        <f aca="false">IFERROR(__xludf.dummyfunction("""COMPUTED_VALUE"""),"3.42")</f>
        <v>3.42</v>
      </c>
      <c r="B60" s="200" t="str">
        <f aca="false">IFERROR(__xludf.dummyfunction("""COMPUTED_VALUE"""),"3")</f>
        <v>3</v>
      </c>
      <c r="C60" s="207" t="str">
        <f aca="false">IFERROR(__xludf.dummyfunction("""COMPUTED_VALUE"""),"Políticas Acadêmicas")</f>
        <v>Políticas Acadêmicas</v>
      </c>
      <c r="D60" s="207" t="str">
        <f aca="false">IFERROR(__xludf.dummyfunction("""COMPUTED_VALUE"""),"Formalizar e implementar acordos com instituições internacionais visando o reconhecimento direto dos diplomas emitidos pela UNILA ou a dupla titulação;")</f>
        <v>Formalizar e implementar acordos com instituições internacionais visando o reconhecimento direto dos diplomas emitidos pela UNILA ou a dupla titulação;</v>
      </c>
      <c r="E6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0" s="200" t="str">
        <f aca="false">IFERROR(__xludf.dummyfunction("""COMPUTED_VALUE"""),"PROGRAD / PRPPG / PROINT")</f>
        <v>PROGRAD / PRPPG / PROINT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</row>
    <row r="61" customFormat="false" ht="15" hidden="false" customHeight="false" outlineLevel="0" collapsed="false">
      <c r="A61" s="200" t="str">
        <f aca="false">IFERROR(__xludf.dummyfunction("""COMPUTED_VALUE"""),"3.43")</f>
        <v>3.43</v>
      </c>
      <c r="B61" s="200" t="str">
        <f aca="false">IFERROR(__xludf.dummyfunction("""COMPUTED_VALUE"""),"3")</f>
        <v>3</v>
      </c>
      <c r="C61" s="207" t="str">
        <f aca="false">IFERROR(__xludf.dummyfunction("""COMPUTED_VALUE"""),"Políticas Acadêmicas")</f>
        <v>Políticas Acadêmicas</v>
      </c>
      <c r="D61" s="207" t="str">
        <f aca="false">IFERROR(__xludf.dummyfunction("""COMPUTED_VALUE"""),"Promover ações que visem a consolidação da Semana de Ensino, Pesquisa e Extensão da UNILA como espaço de divulgação e partilha de saberes;")</f>
        <v>Promover ações que visem a consolidação da Semana de Ensino, Pesquisa e Extensão da UNILA como espaço de divulgação e partilha de saberes;</v>
      </c>
      <c r="E6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1" s="200" t="str">
        <f aca="false">IFERROR(__xludf.dummyfunction("""COMPUTED_VALUE"""),"PROGRAD / PRPPG / PROEX")</f>
        <v>PROGRAD / PRPPG / PROEX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</row>
    <row r="62" customFormat="false" ht="15" hidden="false" customHeight="false" outlineLevel="0" collapsed="false">
      <c r="A62" s="200" t="str">
        <f aca="false">IFERROR(__xludf.dummyfunction("""COMPUTED_VALUE"""),"3.44")</f>
        <v>3.44</v>
      </c>
      <c r="B62" s="200" t="str">
        <f aca="false">IFERROR(__xludf.dummyfunction("""COMPUTED_VALUE"""),"3")</f>
        <v>3</v>
      </c>
      <c r="C62" s="207" t="str">
        <f aca="false">IFERROR(__xludf.dummyfunction("""COMPUTED_VALUE"""),"Políticas Acadêmicas")</f>
        <v>Políticas Acadêmicas</v>
      </c>
      <c r="D62" s="207" t="str">
        <f aca="false">IFERROR(__xludf.dummyfunction("""COMPUTED_VALUE"""),"Estimular a participação da comunidade acadêmica em programas federais que estimulem ações e projetos de ensino, pesquisa ou extensão;")</f>
        <v>Estimular a participação da comunidade acadêmica em programas federais que estimulem ações e projetos de ensino, pesquisa ou extensão;</v>
      </c>
      <c r="E6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2" s="200" t="str">
        <f aca="false">IFERROR(__xludf.dummyfunction("""COMPUTED_VALUE"""),"PROGRAD / PRPPG / PROEX")</f>
        <v>PROGRAD / PRPPG / PROEX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</row>
    <row r="63" customFormat="false" ht="15" hidden="false" customHeight="false" outlineLevel="0" collapsed="false">
      <c r="A63" s="200" t="str">
        <f aca="false">IFERROR(__xludf.dummyfunction("""COMPUTED_VALUE"""),"3.45")</f>
        <v>3.45</v>
      </c>
      <c r="B63" s="200" t="str">
        <f aca="false">IFERROR(__xludf.dummyfunction("""COMPUTED_VALUE"""),"3")</f>
        <v>3</v>
      </c>
      <c r="C63" s="207" t="str">
        <f aca="false">IFERROR(__xludf.dummyfunction("""COMPUTED_VALUE"""),"Políticas Acadêmicas")</f>
        <v>Políticas Acadêmicas</v>
      </c>
      <c r="D63" s="207" t="str">
        <f aca="false">IFERROR(__xludf.dummyfunction("""COMPUTED_VALUE"""),"Fomentar a interdisciplinaridade no âmbito da UNILA;")</f>
        <v>Fomentar a interdisciplinaridade no âmbito da UNILA;</v>
      </c>
      <c r="E6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3" s="200" t="str">
        <f aca="false">IFERROR(__xludf.dummyfunction("""COMPUTED_VALUE"""),"PROGRAD / PRPPG / PROEX")</f>
        <v>PROGRAD / PRPPG / PROEX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</row>
    <row r="64" customFormat="false" ht="15" hidden="false" customHeight="false" outlineLevel="0" collapsed="false">
      <c r="A64" s="200" t="str">
        <f aca="false">IFERROR(__xludf.dummyfunction("""COMPUTED_VALUE"""),"3.46")</f>
        <v>3.46</v>
      </c>
      <c r="B64" s="200" t="str">
        <f aca="false">IFERROR(__xludf.dummyfunction("""COMPUTED_VALUE"""),"3")</f>
        <v>3</v>
      </c>
      <c r="C64" s="207" t="str">
        <f aca="false">IFERROR(__xludf.dummyfunction("""COMPUTED_VALUE"""),"Políticas Acadêmicas")</f>
        <v>Políticas Acadêmicas</v>
      </c>
      <c r="D64" s="207" t="str">
        <f aca="false">IFERROR(__xludf.dummyfunction("""COMPUTED_VALUE"""),"Incentivar projetos de ensino, pesquisa e extensão voltados à região trinacional;")</f>
        <v>Incentivar projetos de ensino, pesquisa e extensão voltados à região trinacional;</v>
      </c>
      <c r="E6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4" s="200" t="str">
        <f aca="false">IFERROR(__xludf.dummyfunction("""COMPUTED_VALUE"""),"PROGRAD / PRPPG / PROEX")</f>
        <v>PROGRAD / PRPPG / PROEX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</row>
    <row r="65" customFormat="false" ht="15" hidden="false" customHeight="false" outlineLevel="0" collapsed="false">
      <c r="A65" s="200" t="str">
        <f aca="false">IFERROR(__xludf.dummyfunction("""COMPUTED_VALUE"""),"3.47")</f>
        <v>3.47</v>
      </c>
      <c r="B65" s="200" t="str">
        <f aca="false">IFERROR(__xludf.dummyfunction("""COMPUTED_VALUE"""),"3")</f>
        <v>3</v>
      </c>
      <c r="C65" s="207" t="str">
        <f aca="false">IFERROR(__xludf.dummyfunction("""COMPUTED_VALUE"""),"Políticas Acadêmicas")</f>
        <v>Políticas Acadêmicas</v>
      </c>
      <c r="D65" s="207" t="str">
        <f aca="false">IFERROR(__xludf.dummyfunction("""COMPUTED_VALUE"""),"Estimular o desenvolvimento de projetos de iniciação científica e de pesquisas em diversas áreas do conhecimento;")</f>
        <v>Estimular o desenvolvimento de projetos de iniciação científica e de pesquisas em diversas áreas do conhecimento;</v>
      </c>
      <c r="E6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5" s="200" t="str">
        <f aca="false">IFERROR(__xludf.dummyfunction("""COMPUTED_VALUE"""),"PROGRAD / PRPPG / PROEX")</f>
        <v>PROGRAD / PRPPG / PROEX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</row>
    <row r="66" customFormat="false" ht="15" hidden="false" customHeight="false" outlineLevel="0" collapsed="false">
      <c r="A66" s="200" t="str">
        <f aca="false">IFERROR(__xludf.dummyfunction("""COMPUTED_VALUE"""),"3.48")</f>
        <v>3.48</v>
      </c>
      <c r="B66" s="200" t="str">
        <f aca="false">IFERROR(__xludf.dummyfunction("""COMPUTED_VALUE"""),"3")</f>
        <v>3</v>
      </c>
      <c r="C66" s="207" t="str">
        <f aca="false">IFERROR(__xludf.dummyfunction("""COMPUTED_VALUE"""),"Políticas Acadêmicas")</f>
        <v>Políticas Acadêmicas</v>
      </c>
      <c r="D66" s="207" t="str">
        <f aca="false">IFERROR(__xludf.dummyfunction("""COMPUTED_VALUE"""),"Avaliar e aprimorar o processo de avaliação da Iniciação Científica e Inovação Tecnológica na instituição;")</f>
        <v>Avaliar e aprimorar o processo de avaliação da Iniciação Científica e Inovação Tecnológica na instituição;</v>
      </c>
      <c r="E6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6" s="200" t="str">
        <f aca="false">IFERROR(__xludf.dummyfunction("""COMPUTED_VALUE"""),"PROGRAD / PRPPG")</f>
        <v>PROGRAD / PRPPG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</row>
    <row r="67" customFormat="false" ht="15" hidden="false" customHeight="false" outlineLevel="0" collapsed="false">
      <c r="A67" s="200" t="str">
        <f aca="false">IFERROR(__xludf.dummyfunction("""COMPUTED_VALUE"""),"3.49")</f>
        <v>3.49</v>
      </c>
      <c r="B67" s="200" t="str">
        <f aca="false">IFERROR(__xludf.dummyfunction("""COMPUTED_VALUE"""),"3")</f>
        <v>3</v>
      </c>
      <c r="C67" s="207" t="str">
        <f aca="false">IFERROR(__xludf.dummyfunction("""COMPUTED_VALUE"""),"Políticas Acadêmicas")</f>
        <v>Políticas Acadêmicas</v>
      </c>
      <c r="D67" s="207" t="str">
        <f aca="false">IFERROR(__xludf.dummyfunction("""COMPUTED_VALUE"""),"Estabelecer mecanismos eficientes para divulgação dos resultados das pesquisas empreendidas;")</f>
        <v>Estabelecer mecanismos eficientes para divulgação dos resultados das pesquisas empreendidas;</v>
      </c>
      <c r="E6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7" s="200" t="str">
        <f aca="false">IFERROR(__xludf.dummyfunction("""COMPUTED_VALUE"""),"PRPPG")</f>
        <v>PRPPG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</row>
    <row r="68" customFormat="false" ht="15" hidden="false" customHeight="false" outlineLevel="0" collapsed="false">
      <c r="A68" s="200" t="str">
        <f aca="false">IFERROR(__xludf.dummyfunction("""COMPUTED_VALUE"""),"3.50")</f>
        <v>3.50</v>
      </c>
      <c r="B68" s="200" t="str">
        <f aca="false">IFERROR(__xludf.dummyfunction("""COMPUTED_VALUE"""),"3")</f>
        <v>3</v>
      </c>
      <c r="C68" s="207" t="str">
        <f aca="false">IFERROR(__xludf.dummyfunction("""COMPUTED_VALUE"""),"Políticas Acadêmicas")</f>
        <v>Políticas Acadêmicas</v>
      </c>
      <c r="D68" s="207" t="str">
        <f aca="false">IFERROR(__xludf.dummyfunction("""COMPUTED_VALUE"""),"Ampliar o número de programas de pós-graduação, inclusive com oferta pela EaD;")</f>
        <v>Ampliar o número de programas de pós-graduação, inclusive com oferta pela EaD;</v>
      </c>
      <c r="E6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8" s="200" t="str">
        <f aca="false">IFERROR(__xludf.dummyfunction("""COMPUTED_VALUE"""),"PRPPG")</f>
        <v>PRPPG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</row>
    <row r="69" customFormat="false" ht="15" hidden="false" customHeight="false" outlineLevel="0" collapsed="false">
      <c r="A69" s="200" t="str">
        <f aca="false">IFERROR(__xludf.dummyfunction("""COMPUTED_VALUE"""),"3.51")</f>
        <v>3.51</v>
      </c>
      <c r="B69" s="200" t="str">
        <f aca="false">IFERROR(__xludf.dummyfunction("""COMPUTED_VALUE"""),"3")</f>
        <v>3</v>
      </c>
      <c r="C69" s="207" t="str">
        <f aca="false">IFERROR(__xludf.dummyfunction("""COMPUTED_VALUE"""),"Políticas Acadêmicas")</f>
        <v>Políticas Acadêmicas</v>
      </c>
      <c r="D69" s="207" t="str">
        <f aca="false">IFERROR(__xludf.dummyfunction("""COMPUTED_VALUE"""),"Implementar mecanismos eletrônicos para registros da produção e do desenvolvimento das atividades dos pesquisadores e seus bolsistas;")</f>
        <v>Implementar mecanismos eletrônicos para registros da produção e do desenvolvimento das atividades dos pesquisadores e seus bolsistas;</v>
      </c>
      <c r="E6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69" s="200" t="str">
        <f aca="false">IFERROR(__xludf.dummyfunction("""COMPUTED_VALUE"""),"PRPPG")</f>
        <v>PRPPG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</row>
    <row r="70" customFormat="false" ht="15" hidden="false" customHeight="false" outlineLevel="0" collapsed="false">
      <c r="A70" s="200" t="str">
        <f aca="false">IFERROR(__xludf.dummyfunction("""COMPUTED_VALUE"""),"3.52")</f>
        <v>3.52</v>
      </c>
      <c r="B70" s="200" t="str">
        <f aca="false">IFERROR(__xludf.dummyfunction("""COMPUTED_VALUE"""),"3")</f>
        <v>3</v>
      </c>
      <c r="C70" s="207" t="str">
        <f aca="false">IFERROR(__xludf.dummyfunction("""COMPUTED_VALUE"""),"Políticas Acadêmicas")</f>
        <v>Políticas Acadêmicas</v>
      </c>
      <c r="D70" s="207" t="str">
        <f aca="false">IFERROR(__xludf.dummyfunction("""COMPUTED_VALUE"""),"Implantar programa de incentivo, acompanhamento e consolidação dos grupos de pesquisa certificados no CNPq;")</f>
        <v>Implantar programa de incentivo, acompanhamento e consolidação dos grupos de pesquisa certificados no CNPq;</v>
      </c>
      <c r="E7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0" s="200" t="str">
        <f aca="false">IFERROR(__xludf.dummyfunction("""COMPUTED_VALUE"""),"REITORIA / GB / PRPPG")</f>
        <v>REITORIA / GB / PRPPG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</row>
    <row r="71" customFormat="false" ht="15" hidden="false" customHeight="false" outlineLevel="0" collapsed="false">
      <c r="A71" s="200" t="str">
        <f aca="false">IFERROR(__xludf.dummyfunction("""COMPUTED_VALUE"""),"3.53")</f>
        <v>3.53</v>
      </c>
      <c r="B71" s="200" t="str">
        <f aca="false">IFERROR(__xludf.dummyfunction("""COMPUTED_VALUE"""),"3")</f>
        <v>3</v>
      </c>
      <c r="C71" s="207" t="str">
        <f aca="false">IFERROR(__xludf.dummyfunction("""COMPUTED_VALUE"""),"Políticas Acadêmicas")</f>
        <v>Políticas Acadêmicas</v>
      </c>
      <c r="D71" s="207" t="str">
        <f aca="false">IFERROR(__xludf.dummyfunction("""COMPUTED_VALUE"""),"Implantar programa para assessoramento de pesquisadores interessados na inscrição de projetos em editais externos de fomento, com vistas à otimização das oportunidades de seleção;")</f>
        <v>Implantar programa para assessoramento de pesquisadores interessados na inscrição de projetos em editais externos de fomento, com vistas à otimização das oportunidades de seleção;</v>
      </c>
      <c r="E7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1" s="200" t="str">
        <f aca="false">IFERROR(__xludf.dummyfunction("""COMPUTED_VALUE"""),"PRPPG")</f>
        <v>PRPPG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</row>
    <row r="72" customFormat="false" ht="15" hidden="false" customHeight="false" outlineLevel="0" collapsed="false">
      <c r="A72" s="200" t="str">
        <f aca="false">IFERROR(__xludf.dummyfunction("""COMPUTED_VALUE"""),"3.54")</f>
        <v>3.54</v>
      </c>
      <c r="B72" s="200" t="str">
        <f aca="false">IFERROR(__xludf.dummyfunction("""COMPUTED_VALUE"""),"3")</f>
        <v>3</v>
      </c>
      <c r="C72" s="207" t="str">
        <f aca="false">IFERROR(__xludf.dummyfunction("""COMPUTED_VALUE"""),"Políticas Acadêmicas")</f>
        <v>Políticas Acadêmicas</v>
      </c>
      <c r="D72" s="207" t="str">
        <f aca="false">IFERROR(__xludf.dummyfunction("""COMPUTED_VALUE"""),"Planejar e implementar programas de auxílio às publicações científicas e de premiações às pesquisas;")</f>
        <v>Planejar e implementar programas de auxílio às publicações científicas e de premiações às pesquisas;</v>
      </c>
      <c r="E7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2" s="200" t="str">
        <f aca="false">IFERROR(__xludf.dummyfunction("""COMPUTED_VALUE"""),"REITORIA / GB / PRPPG")</f>
        <v>REITORIA / GB / PRPPG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</row>
    <row r="73" customFormat="false" ht="15" hidden="false" customHeight="false" outlineLevel="0" collapsed="false">
      <c r="A73" s="200" t="str">
        <f aca="false">IFERROR(__xludf.dummyfunction("""COMPUTED_VALUE"""),"3.55")</f>
        <v>3.55</v>
      </c>
      <c r="B73" s="200" t="str">
        <f aca="false">IFERROR(__xludf.dummyfunction("""COMPUTED_VALUE"""),"3")</f>
        <v>3</v>
      </c>
      <c r="C73" s="207" t="str">
        <f aca="false">IFERROR(__xludf.dummyfunction("""COMPUTED_VALUE"""),"Políticas Acadêmicas")</f>
        <v>Políticas Acadêmicas</v>
      </c>
      <c r="D73" s="207" t="str">
        <f aca="false">IFERROR(__xludf.dummyfunction("""COMPUTED_VALUE"""),"Instituir o prêmio pesquisador destaque para cada área de pesquisa;")</f>
        <v>Instituir o prêmio pesquisador destaque para cada área de pesquisa;</v>
      </c>
      <c r="E7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3" s="200" t="str">
        <f aca="false">IFERROR(__xludf.dummyfunction("""COMPUTED_VALUE"""),"REITORIA / GB / PRPPG")</f>
        <v>REITORIA / GB / PRPPG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</row>
    <row r="74" customFormat="false" ht="15" hidden="false" customHeight="false" outlineLevel="0" collapsed="false">
      <c r="A74" s="200" t="str">
        <f aca="false">IFERROR(__xludf.dummyfunction("""COMPUTED_VALUE"""),"3.56")</f>
        <v>3.56</v>
      </c>
      <c r="B74" s="200" t="str">
        <f aca="false">IFERROR(__xludf.dummyfunction("""COMPUTED_VALUE"""),"3")</f>
        <v>3</v>
      </c>
      <c r="C74" s="207" t="str">
        <f aca="false">IFERROR(__xludf.dummyfunction("""COMPUTED_VALUE"""),"Políticas Acadêmicas")</f>
        <v>Políticas Acadêmicas</v>
      </c>
      <c r="D74" s="207" t="str">
        <f aca="false">IFERROR(__xludf.dummyfunction("""COMPUTED_VALUE"""),"Ampliar e fortalecer parcerias com instituições públicas e privadas para realização de pesquisas;")</f>
        <v>Ampliar e fortalecer parcerias com instituições públicas e privadas para realização de pesquisas;</v>
      </c>
      <c r="E7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4" s="200" t="str">
        <f aca="false">IFERROR(__xludf.dummyfunction("""COMPUTED_VALUE"""),"REITORIA / GB / PROINT / PRPPG")</f>
        <v>REITORIA / GB / PROINT / PRPPG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</row>
    <row r="75" customFormat="false" ht="15" hidden="false" customHeight="false" outlineLevel="0" collapsed="false">
      <c r="A75" s="200" t="str">
        <f aca="false">IFERROR(__xludf.dummyfunction("""COMPUTED_VALUE"""),"3.57")</f>
        <v>3.57</v>
      </c>
      <c r="B75" s="200" t="str">
        <f aca="false">IFERROR(__xludf.dummyfunction("""COMPUTED_VALUE"""),"3")</f>
        <v>3</v>
      </c>
      <c r="C75" s="207" t="str">
        <f aca="false">IFERROR(__xludf.dummyfunction("""COMPUTED_VALUE"""),"Políticas Acadêmicas")</f>
        <v>Políticas Acadêmicas</v>
      </c>
      <c r="D75" s="207" t="str">
        <f aca="false">IFERROR(__xludf.dummyfunction("""COMPUTED_VALUE"""),"Aprovar regramento geral para a publicação de revistas científicas da UNILA;")</f>
        <v>Aprovar regramento geral para a publicação de revistas científicas da UNILA;</v>
      </c>
      <c r="E7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5" s="200" t="str">
        <f aca="false">IFERROR(__xludf.dummyfunction("""COMPUTED_VALUE"""),"PRPPG")</f>
        <v>PRPPG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</row>
    <row r="76" customFormat="false" ht="15" hidden="false" customHeight="false" outlineLevel="0" collapsed="false">
      <c r="A76" s="200" t="str">
        <f aca="false">IFERROR(__xludf.dummyfunction("""COMPUTED_VALUE"""),"3.58")</f>
        <v>3.58</v>
      </c>
      <c r="B76" s="200" t="str">
        <f aca="false">IFERROR(__xludf.dummyfunction("""COMPUTED_VALUE"""),"3")</f>
        <v>3</v>
      </c>
      <c r="C76" s="207" t="str">
        <f aca="false">IFERROR(__xludf.dummyfunction("""COMPUTED_VALUE"""),"Políticas Acadêmicas")</f>
        <v>Políticas Acadêmicas</v>
      </c>
      <c r="D76" s="207" t="str">
        <f aca="false">IFERROR(__xludf.dummyfunction("""COMPUTED_VALUE"""),"Implantar, estruturar e consolidar o Núcleo de Inovações Tecnológicas na UNILA;")</f>
        <v>Implantar, estruturar e consolidar o Núcleo de Inovações Tecnológicas na UNILA;</v>
      </c>
      <c r="E7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6" s="200" t="str">
        <f aca="false">IFERROR(__xludf.dummyfunction("""COMPUTED_VALUE"""),"REITORIA / GB / PRPPG")</f>
        <v>REITORIA / GB / PRPPG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</row>
    <row r="77" customFormat="false" ht="15" hidden="false" customHeight="false" outlineLevel="0" collapsed="false">
      <c r="A77" s="200" t="str">
        <f aca="false">IFERROR(__xludf.dummyfunction("""COMPUTED_VALUE"""),"3.59")</f>
        <v>3.59</v>
      </c>
      <c r="B77" s="200" t="str">
        <f aca="false">IFERROR(__xludf.dummyfunction("""COMPUTED_VALUE"""),"3")</f>
        <v>3</v>
      </c>
      <c r="C77" s="207" t="str">
        <f aca="false">IFERROR(__xludf.dummyfunction("""COMPUTED_VALUE"""),"Políticas Acadêmicas")</f>
        <v>Políticas Acadêmicas</v>
      </c>
      <c r="D77" s="207" t="str">
        <f aca="false">IFERROR(__xludf.dummyfunction("""COMPUTED_VALUE"""),"Fomentar e desenvolver atividades de capacitação que envolvam a criação de empresas juniores, startups, o desenvolvimento de patentes, a propriedade intelectual e a criação de incubadoras tecnológicas")</f>
        <v>Fomentar e desenvolver atividades de capacitação que envolvam a criação de empresas juniores, startups, o desenvolvimento de patentes, a propriedade intelectual e a criação de incubadoras tecnológicas</v>
      </c>
      <c r="E7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7" s="200" t="str">
        <f aca="false">IFERROR(__xludf.dummyfunction("""COMPUTED_VALUE"""),"PRPPG")</f>
        <v>PRPPG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</row>
    <row r="78" customFormat="false" ht="15" hidden="false" customHeight="false" outlineLevel="0" collapsed="false">
      <c r="A78" s="200" t="str">
        <f aca="false">IFERROR(__xludf.dummyfunction("""COMPUTED_VALUE"""),"3.60")</f>
        <v>3.60</v>
      </c>
      <c r="B78" s="200" t="str">
        <f aca="false">IFERROR(__xludf.dummyfunction("""COMPUTED_VALUE"""),"3")</f>
        <v>3</v>
      </c>
      <c r="C78" s="207" t="str">
        <f aca="false">IFERROR(__xludf.dummyfunction("""COMPUTED_VALUE"""),"Políticas Acadêmicas")</f>
        <v>Políticas Acadêmicas</v>
      </c>
      <c r="D78" s="207" t="str">
        <f aca="false">IFERROR(__xludf.dummyfunction("""COMPUTED_VALUE"""),"Ampliar a participação da UNILA em programas da CAPES, tais como PROAP, PROEQUIPAMENTOS e PNPD;")</f>
        <v>Ampliar a participação da UNILA em programas da CAPES, tais como PROAP, PROEQUIPAMENTOS e PNPD;</v>
      </c>
      <c r="E7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8" s="200" t="str">
        <f aca="false">IFERROR(__xludf.dummyfunction("""COMPUTED_VALUE"""),"PRPPG")</f>
        <v>PRPPG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</row>
    <row r="79" customFormat="false" ht="15" hidden="false" customHeight="false" outlineLevel="0" collapsed="false">
      <c r="A79" s="200" t="str">
        <f aca="false">IFERROR(__xludf.dummyfunction("""COMPUTED_VALUE"""),"3.61")</f>
        <v>3.61</v>
      </c>
      <c r="B79" s="200" t="str">
        <f aca="false">IFERROR(__xludf.dummyfunction("""COMPUTED_VALUE"""),"3")</f>
        <v>3</v>
      </c>
      <c r="C79" s="207" t="str">
        <f aca="false">IFERROR(__xludf.dummyfunction("""COMPUTED_VALUE"""),"Políticas Acadêmicas")</f>
        <v>Políticas Acadêmicas</v>
      </c>
      <c r="D79" s="207" t="str">
        <f aca="false">IFERROR(__xludf.dummyfunction("""COMPUTED_VALUE"""),"Elaborar programas para fortalecimento das relações entre a pesquisa e a Editora da UNILA;")</f>
        <v>Elaborar programas para fortalecimento das relações entre a pesquisa e a Editora da UNILA;</v>
      </c>
      <c r="E7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79" s="200" t="str">
        <f aca="false">IFERROR(__xludf.dummyfunction("""COMPUTED_VALUE"""),"PRPPG / EDUNILA")</f>
        <v>PRPPG / EDUNILA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</row>
    <row r="80" customFormat="false" ht="15" hidden="false" customHeight="false" outlineLevel="0" collapsed="false">
      <c r="A80" s="200" t="str">
        <f aca="false">IFERROR(__xludf.dummyfunction("""COMPUTED_VALUE"""),"3.62")</f>
        <v>3.62</v>
      </c>
      <c r="B80" s="200" t="str">
        <f aca="false">IFERROR(__xludf.dummyfunction("""COMPUTED_VALUE"""),"3")</f>
        <v>3</v>
      </c>
      <c r="C80" s="207" t="str">
        <f aca="false">IFERROR(__xludf.dummyfunction("""COMPUTED_VALUE"""),"Políticas Acadêmicas")</f>
        <v>Políticas Acadêmicas</v>
      </c>
      <c r="D80" s="207" t="str">
        <f aca="false">IFERROR(__xludf.dummyfunction("""COMPUTED_VALUE"""),"Aperfeiçoar normas referentes às submissões e ao autoarquivamento de publicações científicas a serem disponibilizadas em repositório institucional da UNILA;")</f>
        <v>Aperfeiçoar normas referentes às submissões e ao autoarquivamento de publicações científicas a serem disponibilizadas em repositório institucional da UNILA;</v>
      </c>
      <c r="E8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0" s="200" t="str">
        <f aca="false">IFERROR(__xludf.dummyfunction("""COMPUTED_VALUE"""),"PRPPG")</f>
        <v>PRPPG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</row>
    <row r="81" customFormat="false" ht="15" hidden="false" customHeight="false" outlineLevel="0" collapsed="false">
      <c r="A81" s="200" t="str">
        <f aca="false">IFERROR(__xludf.dummyfunction("""COMPUTED_VALUE"""),"3.63")</f>
        <v>3.63</v>
      </c>
      <c r="B81" s="200" t="str">
        <f aca="false">IFERROR(__xludf.dummyfunction("""COMPUTED_VALUE"""),"3")</f>
        <v>3</v>
      </c>
      <c r="C81" s="207" t="str">
        <f aca="false">IFERROR(__xludf.dummyfunction("""COMPUTED_VALUE"""),"Políticas Acadêmicas")</f>
        <v>Políticas Acadêmicas</v>
      </c>
      <c r="D81" s="207" t="str">
        <f aca="false">IFERROR(__xludf.dummyfunction("""COMPUTED_VALUE"""),"Avaliar e, caso necessário, revisar normativas de extensão;")</f>
        <v>Avaliar e, caso necessário, revisar normativas de extensão;</v>
      </c>
      <c r="E8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1" s="200" t="str">
        <f aca="false">IFERROR(__xludf.dummyfunction("""COMPUTED_VALUE"""),"PROEX")</f>
        <v>PROEX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</row>
    <row r="82" customFormat="false" ht="15" hidden="false" customHeight="false" outlineLevel="0" collapsed="false">
      <c r="A82" s="200" t="str">
        <f aca="false">IFERROR(__xludf.dummyfunction("""COMPUTED_VALUE"""),"3.64")</f>
        <v>3.64</v>
      </c>
      <c r="B82" s="200" t="str">
        <f aca="false">IFERROR(__xludf.dummyfunction("""COMPUTED_VALUE"""),"3")</f>
        <v>3</v>
      </c>
      <c r="C82" s="207" t="str">
        <f aca="false">IFERROR(__xludf.dummyfunction("""COMPUTED_VALUE"""),"Políticas Acadêmicas")</f>
        <v>Políticas Acadêmicas</v>
      </c>
      <c r="D82" s="207" t="str">
        <f aca="false">IFERROR(__xludf.dummyfunction("""COMPUTED_VALUE"""),"Consolidar as publicações voltadas ao registro acadêmico-científico das experiências extensionistas;")</f>
        <v>Consolidar as publicações voltadas ao registro acadêmico-científico das experiências extensionistas;</v>
      </c>
      <c r="E82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2" s="200" t="str">
        <f aca="false">IFERROR(__xludf.dummyfunction("""COMPUTED_VALUE"""),"PROEX")</f>
        <v>PROEX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</row>
    <row r="83" customFormat="false" ht="15" hidden="false" customHeight="false" outlineLevel="0" collapsed="false">
      <c r="A83" s="200" t="str">
        <f aca="false">IFERROR(__xludf.dummyfunction("""COMPUTED_VALUE"""),"3.65")</f>
        <v>3.65</v>
      </c>
      <c r="B83" s="200" t="str">
        <f aca="false">IFERROR(__xludf.dummyfunction("""COMPUTED_VALUE"""),"3")</f>
        <v>3</v>
      </c>
      <c r="C83" s="207" t="str">
        <f aca="false">IFERROR(__xludf.dummyfunction("""COMPUTED_VALUE"""),"Políticas Acadêmicas")</f>
        <v>Políticas Acadêmicas</v>
      </c>
      <c r="D83" s="207" t="str">
        <f aca="false">IFERROR(__xludf.dummyfunction("""COMPUTED_VALUE"""),"Aprovar e implementar a política cultural da Universidade;")</f>
        <v>Aprovar e implementar a política cultural da Universidade;</v>
      </c>
      <c r="E83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3" s="200" t="str">
        <f aca="false">IFERROR(__xludf.dummyfunction("""COMPUTED_VALUE"""),"PROEX")</f>
        <v>PROEX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</row>
    <row r="84" customFormat="false" ht="15" hidden="false" customHeight="false" outlineLevel="0" collapsed="false">
      <c r="A84" s="200" t="str">
        <f aca="false">IFERROR(__xludf.dummyfunction("""COMPUTED_VALUE"""),"3.66")</f>
        <v>3.66</v>
      </c>
      <c r="B84" s="200" t="str">
        <f aca="false">IFERROR(__xludf.dummyfunction("""COMPUTED_VALUE"""),"3")</f>
        <v>3</v>
      </c>
      <c r="C84" s="207" t="str">
        <f aca="false">IFERROR(__xludf.dummyfunction("""COMPUTED_VALUE"""),"Políticas Acadêmicas")</f>
        <v>Políticas Acadêmicas</v>
      </c>
      <c r="D84" s="207" t="str">
        <f aca="false">IFERROR(__xludf.dummyfunction("""COMPUTED_VALUE"""),"Promover o aumento da capilaridade da UNILA no tecido social da região da Tríplice Fronteira e por toda a América Latina, inclusive via EaD;")</f>
        <v>Promover o aumento da capilaridade da UNILA no tecido social da região da Tríplice Fronteira e por toda a América Latina, inclusive via EaD;</v>
      </c>
      <c r="E84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4" s="200" t="str">
        <f aca="false">IFERROR(__xludf.dummyfunction("""COMPUTED_VALUE"""),"PROEX")</f>
        <v>PROEX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</row>
    <row r="85" customFormat="false" ht="15" hidden="false" customHeight="false" outlineLevel="0" collapsed="false">
      <c r="A85" s="200" t="str">
        <f aca="false">IFERROR(__xludf.dummyfunction("""COMPUTED_VALUE"""),"3.67")</f>
        <v>3.67</v>
      </c>
      <c r="B85" s="200" t="str">
        <f aca="false">IFERROR(__xludf.dummyfunction("""COMPUTED_VALUE"""),"3")</f>
        <v>3</v>
      </c>
      <c r="C85" s="207" t="str">
        <f aca="false">IFERROR(__xludf.dummyfunction("""COMPUTED_VALUE"""),"Políticas Acadêmicas")</f>
        <v>Políticas Acadêmicas</v>
      </c>
      <c r="D85" s="207" t="str">
        <f aca="false">IFERROR(__xludf.dummyfunction("""COMPUTED_VALUE"""),"Ampliar a divulgação e a participação das ações de extensão em eventos institucionais ou organizados por outras instituições parceiras;")</f>
        <v>Ampliar a divulgação e a participação das ações de extensão em eventos institucionais ou organizados por outras instituições parceiras;</v>
      </c>
      <c r="E85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5" s="200" t="str">
        <f aca="false">IFERROR(__xludf.dummyfunction("""COMPUTED_VALUE"""),"PROEX")</f>
        <v>PROEX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</row>
    <row r="86" customFormat="false" ht="15" hidden="false" customHeight="false" outlineLevel="0" collapsed="false">
      <c r="A86" s="200" t="str">
        <f aca="false">IFERROR(__xludf.dummyfunction("""COMPUTED_VALUE"""),"3.68")</f>
        <v>3.68</v>
      </c>
      <c r="B86" s="200" t="str">
        <f aca="false">IFERROR(__xludf.dummyfunction("""COMPUTED_VALUE"""),"3")</f>
        <v>3</v>
      </c>
      <c r="C86" s="207" t="str">
        <f aca="false">IFERROR(__xludf.dummyfunction("""COMPUTED_VALUE"""),"Políticas Acadêmicas")</f>
        <v>Políticas Acadêmicas</v>
      </c>
      <c r="D86" s="207" t="str">
        <f aca="false">IFERROR(__xludf.dummyfunction("""COMPUTED_VALUE"""),"Incentivar e fomentar editais específicos, de acordo com as temáticas da política de extensão da UNILA, que promovam o desenvolvimento de tecnologias sociais com caráter inovador e que representem soluções para a inclusão social, impactando positivamente "&amp;"nas condições de vida da população, fortalecendo os vínculos institucionais internos e externos;")</f>
        <v>Incentivar e fomentar editais específicos, de acordo com as temáticas da política de extensão da UNILA, que promovam o desenvolvimento de tecnologias sociais com caráter inovador e que representem soluções para a inclusão social, impactando positivamente nas condições de vida da população, fortalecendo os vínculos institucionais internos e externos;</v>
      </c>
      <c r="E86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6" s="200" t="str">
        <f aca="false">IFERROR(__xludf.dummyfunction("""COMPUTED_VALUE"""),"PROEX")</f>
        <v>PROEX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</row>
    <row r="87" customFormat="false" ht="15" hidden="false" customHeight="false" outlineLevel="0" collapsed="false">
      <c r="A87" s="200" t="str">
        <f aca="false">IFERROR(__xludf.dummyfunction("""COMPUTED_VALUE"""),"3.69")</f>
        <v>3.69</v>
      </c>
      <c r="B87" s="200" t="str">
        <f aca="false">IFERROR(__xludf.dummyfunction("""COMPUTED_VALUE"""),"3")</f>
        <v>3</v>
      </c>
      <c r="C87" s="207" t="str">
        <f aca="false">IFERROR(__xludf.dummyfunction("""COMPUTED_VALUE"""),"Políticas Acadêmicas")</f>
        <v>Políticas Acadêmicas</v>
      </c>
      <c r="D87" s="207" t="str">
        <f aca="false">IFERROR(__xludf.dummyfunction("""COMPUTED_VALUE"""),"Buscar junto a diferentes órgãos e agências de fomento recursos externos para financiamento de projetos e programas de extensão;")</f>
        <v>Buscar junto a diferentes órgãos e agências de fomento recursos externos para financiamento de projetos e programas de extensão;</v>
      </c>
      <c r="E87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7" s="200" t="str">
        <f aca="false">IFERROR(__xludf.dummyfunction("""COMPUTED_VALUE"""),"REITORIA / GB / PROEX")</f>
        <v>REITORIA / GB / PROEX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</row>
    <row r="88" customFormat="false" ht="15" hidden="false" customHeight="false" outlineLevel="0" collapsed="false">
      <c r="A88" s="200" t="str">
        <f aca="false">IFERROR(__xludf.dummyfunction("""COMPUTED_VALUE"""),"3.70")</f>
        <v>3.70</v>
      </c>
      <c r="B88" s="200" t="str">
        <f aca="false">IFERROR(__xludf.dummyfunction("""COMPUTED_VALUE"""),"3")</f>
        <v>3</v>
      </c>
      <c r="C88" s="207" t="str">
        <f aca="false">IFERROR(__xludf.dummyfunction("""COMPUTED_VALUE"""),"Políticas Acadêmicas")</f>
        <v>Políticas Acadêmicas</v>
      </c>
      <c r="D88" s="207" t="str">
        <f aca="false">IFERROR(__xludf.dummyfunction("""COMPUTED_VALUE"""),"Reformular e implementar ações presenciais e à distância para formação e qualificação de extensionistas: coordenadores de ações, bolsistas e voluntários;")</f>
        <v>Reformular e implementar ações presenciais e à distância para formação e qualificação de extensionistas: coordenadores de ações, bolsistas e voluntários;</v>
      </c>
      <c r="E88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8" s="200" t="str">
        <f aca="false">IFERROR(__xludf.dummyfunction("""COMPUTED_VALUE"""),"PROEX")</f>
        <v>PROEX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</row>
    <row r="89" customFormat="false" ht="15" hidden="false" customHeight="false" outlineLevel="0" collapsed="false">
      <c r="A89" s="200" t="str">
        <f aca="false">IFERROR(__xludf.dummyfunction("""COMPUTED_VALUE"""),"3.71")</f>
        <v>3.71</v>
      </c>
      <c r="B89" s="200" t="str">
        <f aca="false">IFERROR(__xludf.dummyfunction("""COMPUTED_VALUE"""),"3")</f>
        <v>3</v>
      </c>
      <c r="C89" s="207" t="str">
        <f aca="false">IFERROR(__xludf.dummyfunction("""COMPUTED_VALUE"""),"Políticas Acadêmicas")</f>
        <v>Políticas Acadêmicas</v>
      </c>
      <c r="D89" s="207" t="str">
        <f aca="false">IFERROR(__xludf.dummyfunction("""COMPUTED_VALUE"""),"Ampliar, até a totalidade de cursos e de programas, as participações no projeto UNILA na feira;")</f>
        <v>Ampliar, até a totalidade de cursos e de programas, as participações no projeto UNILA na feira;</v>
      </c>
      <c r="E89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89" s="200" t="str">
        <f aca="false">IFERROR(__xludf.dummyfunction("""COMPUTED_VALUE"""),"PROEX / SECOM")</f>
        <v>PROEX / SECOM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</row>
    <row r="90" customFormat="false" ht="15" hidden="false" customHeight="false" outlineLevel="0" collapsed="false">
      <c r="A90" s="200" t="str">
        <f aca="false">IFERROR(__xludf.dummyfunction("""COMPUTED_VALUE"""),"3.72")</f>
        <v>3.72</v>
      </c>
      <c r="B90" s="200" t="str">
        <f aca="false">IFERROR(__xludf.dummyfunction("""COMPUTED_VALUE"""),"3")</f>
        <v>3</v>
      </c>
      <c r="C90" s="207" t="str">
        <f aca="false">IFERROR(__xludf.dummyfunction("""COMPUTED_VALUE"""),"Políticas Acadêmicas")</f>
        <v>Políticas Acadêmicas</v>
      </c>
      <c r="D90" s="207" t="str">
        <f aca="false">IFERROR(__xludf.dummyfunction("""COMPUTED_VALUE"""),"Ampliar o projeto UNILA na feira, de forma a expandir sua atuação a outras localidades.")</f>
        <v>Ampliar o projeto UNILA na feira, de forma a expandir sua atuação a outras localidades.</v>
      </c>
      <c r="E90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90" s="200" t="str">
        <f aca="false">IFERROR(__xludf.dummyfunction("""COMPUTED_VALUE"""),"PROEX")</f>
        <v>PROEX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</row>
    <row r="91" customFormat="false" ht="15" hidden="false" customHeight="false" outlineLevel="0" collapsed="false">
      <c r="A91" s="200" t="str">
        <f aca="false">IFERROR(__xludf.dummyfunction("""COMPUTED_VALUE"""),"3.73")</f>
        <v>3.73</v>
      </c>
      <c r="B91" s="200" t="str">
        <f aca="false">IFERROR(__xludf.dummyfunction("""COMPUTED_VALUE"""),"3")</f>
        <v>3</v>
      </c>
      <c r="C91" s="207" t="str">
        <f aca="false">IFERROR(__xludf.dummyfunction("""COMPUTED_VALUE"""),"Políticas Acadêmicas")</f>
        <v>Políticas Acadêmicas</v>
      </c>
      <c r="D91" s="207" t="str">
        <f aca="false">IFERROR(__xludf.dummyfunction("""COMPUTED_VALUE"""),"Fomentar ações de extensão relacionadas à responsabilidade socioambiental e à inclusão;")</f>
        <v>Fomentar ações de extensão relacionadas à responsabilidade socioambiental e à inclusão;</v>
      </c>
      <c r="E91" s="207" t="str">
        <f aca="false">IFERROR(__xludf.dummyfunction("""COMPUTED_VALUE"""),"A política para o ensino, a pesquisa, a pós-graduação e a extensão")</f>
        <v>A política para o ensino, a pesquisa, a pós-graduação e a extensão</v>
      </c>
      <c r="F91" s="200" t="str">
        <f aca="false">IFERROR(__xludf.dummyfunction("""COMPUTED_VALUE"""),"PROEX")</f>
        <v>PROEX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</row>
    <row r="92" customFormat="false" ht="15" hidden="false" customHeight="false" outlineLevel="0" collapsed="false">
      <c r="A92" s="200" t="str">
        <f aca="false">IFERROR(__xludf.dummyfunction("""COMPUTED_VALUE"""),"3.74")</f>
        <v>3.74</v>
      </c>
      <c r="B92" s="200" t="str">
        <f aca="false">IFERROR(__xludf.dummyfunction("""COMPUTED_VALUE"""),"3")</f>
        <v>3</v>
      </c>
      <c r="C92" s="207" t="str">
        <f aca="false">IFERROR(__xludf.dummyfunction("""COMPUTED_VALUE"""),"Políticas Acadêmicas")</f>
        <v>Políticas Acadêmicas</v>
      </c>
      <c r="D92" s="207" t="str">
        <f aca="false">IFERROR(__xludf.dummyfunction("""COMPUTED_VALUE"""),"Promover, sempre que necessárias, audiências públicas para tratar de assuntos relevantes à comunidade universitária, à comunidade externa e ao desenvolvimento da cidadania;")</f>
        <v>Promover, sempre que necessárias, audiências públicas para tratar de assuntos relevantes à comunidade universitária, à comunidade externa e ao desenvolvimento da cidadania;</v>
      </c>
      <c r="E92" s="207" t="str">
        <f aca="false">IFERROR(__xludf.dummyfunction("""COMPUTED_VALUE"""),"A comunicação com a sociedade")</f>
        <v>A comunicação com a sociedade</v>
      </c>
      <c r="F92" s="200" t="str">
        <f aca="false">IFERROR(__xludf.dummyfunction("""COMPUTED_VALUE"""),"REITORIA / GB")</f>
        <v>REITORIA / GB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</row>
    <row r="93" customFormat="false" ht="15" hidden="false" customHeight="false" outlineLevel="0" collapsed="false">
      <c r="A93" s="200" t="str">
        <f aca="false">IFERROR(__xludf.dummyfunction("""COMPUTED_VALUE"""),"3.75")</f>
        <v>3.75</v>
      </c>
      <c r="B93" s="200" t="str">
        <f aca="false">IFERROR(__xludf.dummyfunction("""COMPUTED_VALUE"""),"3")</f>
        <v>3</v>
      </c>
      <c r="C93" s="207" t="str">
        <f aca="false">IFERROR(__xludf.dummyfunction("""COMPUTED_VALUE"""),"Políticas Acadêmicas")</f>
        <v>Políticas Acadêmicas</v>
      </c>
      <c r="D93" s="207" t="str">
        <f aca="false">IFERROR(__xludf.dummyfunction("""COMPUTED_VALUE"""),"Potencializar a divulgação do conhecimento construído na Universidade e de seus cursos e programas;")</f>
        <v>Potencializar a divulgação do conhecimento construído na Universidade e de seus cursos e programas;</v>
      </c>
      <c r="E93" s="207" t="str">
        <f aca="false">IFERROR(__xludf.dummyfunction("""COMPUTED_VALUE"""),"A comunicação com a sociedade")</f>
        <v>A comunicação com a sociedade</v>
      </c>
      <c r="F93" s="200" t="str">
        <f aca="false">IFERROR(__xludf.dummyfunction("""COMPUTED_VALUE"""),"SECOM")</f>
        <v>SECOM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</row>
    <row r="94" customFormat="false" ht="15" hidden="false" customHeight="false" outlineLevel="0" collapsed="false">
      <c r="A94" s="200" t="str">
        <f aca="false">IFERROR(__xludf.dummyfunction("""COMPUTED_VALUE"""),"3.76")</f>
        <v>3.76</v>
      </c>
      <c r="B94" s="200" t="str">
        <f aca="false">IFERROR(__xludf.dummyfunction("""COMPUTED_VALUE"""),"3")</f>
        <v>3</v>
      </c>
      <c r="C94" s="207" t="str">
        <f aca="false">IFERROR(__xludf.dummyfunction("""COMPUTED_VALUE"""),"Políticas Acadêmicas")</f>
        <v>Políticas Acadêmicas</v>
      </c>
      <c r="D94" s="207" t="str">
        <f aca="false">IFERROR(__xludf.dummyfunction("""COMPUTED_VALUE"""),"Aprovar política de assistência estudantil que abarque ações de saúde, inclusão digital, cultura, esporte, lazer e apoio pedagógico;")</f>
        <v>Aprovar política de assistência estudantil que abarque ações de saúde, inclusão digital, cultura, esporte, lazer e apoio pedagógico;</v>
      </c>
      <c r="E94" s="207" t="str">
        <f aca="false">IFERROR(__xludf.dummyfunction("""COMPUTED_VALUE"""),"As políticas de atendimento aos estudantes")</f>
        <v>As políticas de atendimento aos estudantes</v>
      </c>
      <c r="F94" s="200" t="str">
        <f aca="false">IFERROR(__xludf.dummyfunction("""COMPUTED_VALUE"""),"PRAE")</f>
        <v>PRAE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</row>
    <row r="95" customFormat="false" ht="15" hidden="false" customHeight="false" outlineLevel="0" collapsed="false">
      <c r="A95" s="200" t="str">
        <f aca="false">IFERROR(__xludf.dummyfunction("""COMPUTED_VALUE"""),"3.77")</f>
        <v>3.77</v>
      </c>
      <c r="B95" s="200" t="str">
        <f aca="false">IFERROR(__xludf.dummyfunction("""COMPUTED_VALUE"""),"3")</f>
        <v>3</v>
      </c>
      <c r="C95" s="207" t="str">
        <f aca="false">IFERROR(__xludf.dummyfunction("""COMPUTED_VALUE"""),"Políticas Acadêmicas")</f>
        <v>Políticas Acadêmicas</v>
      </c>
      <c r="D95" s="207" t="str">
        <f aca="false">IFERROR(__xludf.dummyfunction("""COMPUTED_VALUE"""),"Criar um programa intersetorial (PROGRAD, PRAE, PROINT e Institutos) de acolhimento, acompanhamento e orientação de ingressantes;")</f>
        <v>Criar um programa intersetorial (PROGRAD, PRAE, PROINT e Institutos) de acolhimento, acompanhamento e orientação de ingressantes;</v>
      </c>
      <c r="E95" s="207" t="str">
        <f aca="false">IFERROR(__xludf.dummyfunction("""COMPUTED_VALUE"""),"As políticas de atendimento aos estudantes")</f>
        <v>As políticas de atendimento aos estudantes</v>
      </c>
      <c r="F95" s="200" t="str">
        <f aca="false">IFERROR(__xludf.dummyfunction("""COMPUTED_VALUE"""),"PROGRAD / PRAE / PROINT")</f>
        <v>PROGRAD / PRAE / PROINT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</row>
    <row r="96" customFormat="false" ht="15" hidden="false" customHeight="false" outlineLevel="0" collapsed="false">
      <c r="A96" s="200" t="str">
        <f aca="false">IFERROR(__xludf.dummyfunction("""COMPUTED_VALUE"""),"3.78")</f>
        <v>3.78</v>
      </c>
      <c r="B96" s="200" t="str">
        <f aca="false">IFERROR(__xludf.dummyfunction("""COMPUTED_VALUE"""),"3")</f>
        <v>3</v>
      </c>
      <c r="C96" s="207" t="str">
        <f aca="false">IFERROR(__xludf.dummyfunction("""COMPUTED_VALUE"""),"Políticas Acadêmicas")</f>
        <v>Políticas Acadêmicas</v>
      </c>
      <c r="D96" s="207" t="str">
        <f aca="false">IFERROR(__xludf.dummyfunction("""COMPUTED_VALUE"""),"Buscar, por meio de ações conjuntas de diversas áreas da UNILA, junto a órgãos federais e de outros países, recursos adicionais para assistência estudantil;")</f>
        <v>Buscar, por meio de ações conjuntas de diversas áreas da UNILA, junto a órgãos federais e de outros países, recursos adicionais para assistência estudantil;</v>
      </c>
      <c r="E96" s="207" t="str">
        <f aca="false">IFERROR(__xludf.dummyfunction("""COMPUTED_VALUE"""),"As políticas de atendimento aos estudantes")</f>
        <v>As políticas de atendimento aos estudantes</v>
      </c>
      <c r="F96" s="200" t="str">
        <f aca="false">IFERROR(__xludf.dummyfunction("""COMPUTED_VALUE"""),"REITORIA / GB / PROINT / PRAE")</f>
        <v>REITORIA / GB / PROINT / PRAE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</row>
    <row r="97" customFormat="false" ht="15" hidden="false" customHeight="false" outlineLevel="0" collapsed="false">
      <c r="A97" s="200" t="str">
        <f aca="false">IFERROR(__xludf.dummyfunction("""COMPUTED_VALUE"""),"3.79")</f>
        <v>3.79</v>
      </c>
      <c r="B97" s="200" t="str">
        <f aca="false">IFERROR(__xludf.dummyfunction("""COMPUTED_VALUE"""),"3")</f>
        <v>3</v>
      </c>
      <c r="C97" s="207" t="str">
        <f aca="false">IFERROR(__xludf.dummyfunction("""COMPUTED_VALUE"""),"Políticas Acadêmicas")</f>
        <v>Políticas Acadêmicas</v>
      </c>
      <c r="D97" s="207" t="str">
        <f aca="false">IFERROR(__xludf.dummyfunction("""COMPUTED_VALUE"""),"Aplicar, em sua totalidade, os recursos destinados à assistência estudantil;")</f>
        <v>Aplicar, em sua totalidade, os recursos destinados à assistência estudantil;</v>
      </c>
      <c r="E97" s="207" t="str">
        <f aca="false">IFERROR(__xludf.dummyfunction("""COMPUTED_VALUE"""),"As políticas de atendimento aos estudantes")</f>
        <v>As políticas de atendimento aos estudantes</v>
      </c>
      <c r="F97" s="200" t="str">
        <f aca="false">IFERROR(__xludf.dummyfunction("""COMPUTED_VALUE"""),"PRAE")</f>
        <v>PRAE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</row>
    <row r="98" customFormat="false" ht="15" hidden="false" customHeight="false" outlineLevel="0" collapsed="false">
      <c r="A98" s="200" t="str">
        <f aca="false">IFERROR(__xludf.dummyfunction("""COMPUTED_VALUE"""),"3.80")</f>
        <v>3.80</v>
      </c>
      <c r="B98" s="200" t="str">
        <f aca="false">IFERROR(__xludf.dummyfunction("""COMPUTED_VALUE"""),"3")</f>
        <v>3</v>
      </c>
      <c r="C98" s="207" t="str">
        <f aca="false">IFERROR(__xludf.dummyfunction("""COMPUTED_VALUE"""),"Políticas Acadêmicas")</f>
        <v>Políticas Acadêmicas</v>
      </c>
      <c r="D98" s="207" t="str">
        <f aca="false">IFERROR(__xludf.dummyfunction("""COMPUTED_VALUE"""),"Avaliar e aprimorar os regramentos, os critérios e fluxos para concessão e manutenção / desligamento de auxílios de assistência estudantil;")</f>
        <v>Avaliar e aprimorar os regramentos, os critérios e fluxos para concessão e manutenção / desligamento de auxílios de assistência estudantil;</v>
      </c>
      <c r="E98" s="207" t="str">
        <f aca="false">IFERROR(__xludf.dummyfunction("""COMPUTED_VALUE"""),"As políticas de atendimento aos estudantes")</f>
        <v>As políticas de atendimento aos estudantes</v>
      </c>
      <c r="F98" s="200" t="str">
        <f aca="false">IFERROR(__xludf.dummyfunction("""COMPUTED_VALUE"""),"PRAE")</f>
        <v>PRAE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</row>
    <row r="99" customFormat="false" ht="15" hidden="false" customHeight="false" outlineLevel="0" collapsed="false">
      <c r="A99" s="200" t="str">
        <f aca="false">IFERROR(__xludf.dummyfunction("""COMPUTED_VALUE"""),"3.81")</f>
        <v>3.81</v>
      </c>
      <c r="B99" s="200" t="str">
        <f aca="false">IFERROR(__xludf.dummyfunction("""COMPUTED_VALUE"""),"3")</f>
        <v>3</v>
      </c>
      <c r="C99" s="207" t="str">
        <f aca="false">IFERROR(__xludf.dummyfunction("""COMPUTED_VALUE"""),"Políticas Acadêmicas")</f>
        <v>Políticas Acadêmicas</v>
      </c>
      <c r="D99" s="207" t="str">
        <f aca="false">IFERROR(__xludf.dummyfunction("""COMPUTED_VALUE"""),"Aprovar e implementar o regimento do alojamento estudantil;")</f>
        <v>Aprovar e implementar o regimento do alojamento estudantil;</v>
      </c>
      <c r="E99" s="207" t="str">
        <f aca="false">IFERROR(__xludf.dummyfunction("""COMPUTED_VALUE"""),"As políticas de atendimento aos estudantes")</f>
        <v>As políticas de atendimento aos estudantes</v>
      </c>
      <c r="F99" s="200" t="str">
        <f aca="false">IFERROR(__xludf.dummyfunction("""COMPUTED_VALUE"""),"PRAE")</f>
        <v>PRAE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</row>
    <row r="100" customFormat="false" ht="15" hidden="false" customHeight="false" outlineLevel="0" collapsed="false">
      <c r="A100" s="200" t="str">
        <f aca="false">IFERROR(__xludf.dummyfunction("""COMPUTED_VALUE"""),"3.82")</f>
        <v>3.82</v>
      </c>
      <c r="B100" s="200" t="str">
        <f aca="false">IFERROR(__xludf.dummyfunction("""COMPUTED_VALUE"""),"3")</f>
        <v>3</v>
      </c>
      <c r="C100" s="207" t="str">
        <f aca="false">IFERROR(__xludf.dummyfunction("""COMPUTED_VALUE"""),"Políticas Acadêmicas")</f>
        <v>Políticas Acadêmicas</v>
      </c>
      <c r="D100" s="207" t="str">
        <f aca="false">IFERROR(__xludf.dummyfunction("""COMPUTED_VALUE"""),"Fomentar a criação instâncias ou mecanismos de acompanhamento de discentes em todas unidades acadêmicas da UNILA;")</f>
        <v>Fomentar a criação instâncias ou mecanismos de acompanhamento de discentes em todas unidades acadêmicas da UNILA;</v>
      </c>
      <c r="E100" s="207" t="str">
        <f aca="false">IFERROR(__xludf.dummyfunction("""COMPUTED_VALUE"""),"As políticas de atendimento aos estudantes")</f>
        <v>As políticas de atendimento aos estudantes</v>
      </c>
      <c r="F100" s="200" t="str">
        <f aca="false">IFERROR(__xludf.dummyfunction("""COMPUTED_VALUE"""),"PRAE")</f>
        <v>PRAE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</row>
    <row r="101" customFormat="false" ht="15" hidden="false" customHeight="false" outlineLevel="0" collapsed="false">
      <c r="A101" s="200" t="str">
        <f aca="false">IFERROR(__xludf.dummyfunction("""COMPUTED_VALUE"""),"3.83")</f>
        <v>3.83</v>
      </c>
      <c r="B101" s="200" t="str">
        <f aca="false">IFERROR(__xludf.dummyfunction("""COMPUTED_VALUE"""),"3")</f>
        <v>3</v>
      </c>
      <c r="C101" s="207" t="str">
        <f aca="false">IFERROR(__xludf.dummyfunction("""COMPUTED_VALUE"""),"Políticas Acadêmicas")</f>
        <v>Políticas Acadêmicas</v>
      </c>
      <c r="D101" s="207" t="str">
        <f aca="false">IFERROR(__xludf.dummyfunction("""COMPUTED_VALUE"""),"Estimular a implantação de diretórios acadêmicos;")</f>
        <v>Estimular a implantação de diretórios acadêmicos;</v>
      </c>
      <c r="E101" s="207" t="str">
        <f aca="false">IFERROR(__xludf.dummyfunction("""COMPUTED_VALUE"""),"As políticas de atendimento aos estudantes")</f>
        <v>As políticas de atendimento aos estudantes</v>
      </c>
      <c r="F101" s="200" t="str">
        <f aca="false">IFERROR(__xludf.dummyfunction("""COMPUTED_VALUE"""),"PRAE / PROGRAD")</f>
        <v>PRAE / PROGRAD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</row>
    <row r="102" customFormat="false" ht="15" hidden="false" customHeight="false" outlineLevel="0" collapsed="false">
      <c r="A102" s="200" t="str">
        <f aca="false">IFERROR(__xludf.dummyfunction("""COMPUTED_VALUE"""),"3.84")</f>
        <v>3.84</v>
      </c>
      <c r="B102" s="200" t="str">
        <f aca="false">IFERROR(__xludf.dummyfunction("""COMPUTED_VALUE"""),"3")</f>
        <v>3</v>
      </c>
      <c r="C102" s="207" t="str">
        <f aca="false">IFERROR(__xludf.dummyfunction("""COMPUTED_VALUE"""),"Políticas Acadêmicas")</f>
        <v>Políticas Acadêmicas</v>
      </c>
      <c r="D102" s="207" t="str">
        <f aca="false">IFERROR(__xludf.dummyfunction("""COMPUTED_VALUE"""),"Estimular a participação de discentes em fóruns de representação estudantil;")</f>
        <v>Estimular a participação de discentes em fóruns de representação estudantil;</v>
      </c>
      <c r="E102" s="207" t="str">
        <f aca="false">IFERROR(__xludf.dummyfunction("""COMPUTED_VALUE"""),"As políticas de atendimento aos estudantes")</f>
        <v>As políticas de atendimento aos estudantes</v>
      </c>
      <c r="F102" s="200" t="str">
        <f aca="false">IFERROR(__xludf.dummyfunction("""COMPUTED_VALUE"""),"PRAE / PROGRAD")</f>
        <v>PRAE / PROGRAD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</row>
    <row r="103" customFormat="false" ht="15" hidden="false" customHeight="false" outlineLevel="0" collapsed="false">
      <c r="A103" s="200" t="str">
        <f aca="false">IFERROR(__xludf.dummyfunction("""COMPUTED_VALUE"""),"3.85")</f>
        <v>3.85</v>
      </c>
      <c r="B103" s="200" t="str">
        <f aca="false">IFERROR(__xludf.dummyfunction("""COMPUTED_VALUE"""),"3")</f>
        <v>3</v>
      </c>
      <c r="C103" s="207" t="str">
        <f aca="false">IFERROR(__xludf.dummyfunction("""COMPUTED_VALUE"""),"Políticas Acadêmicas")</f>
        <v>Políticas Acadêmicas</v>
      </c>
      <c r="D103" s="207" t="str">
        <f aca="false">IFERROR(__xludf.dummyfunction("""COMPUTED_VALUE"""),"Estimular e fomentar projetos e programas estudantis de esportes, cultura, boa alimentação e lazer")</f>
        <v>Estimular e fomentar projetos e programas estudantis de esportes, cultura, boa alimentação e lazer</v>
      </c>
      <c r="E103" s="207" t="str">
        <f aca="false">IFERROR(__xludf.dummyfunction("""COMPUTED_VALUE"""),"As políticas de atendimento aos estudantes")</f>
        <v>As políticas de atendimento aos estudantes</v>
      </c>
      <c r="F103" s="200" t="str">
        <f aca="false">IFERROR(__xludf.dummyfunction("""COMPUTED_VALUE"""),"PRAE")</f>
        <v>PRAE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</row>
    <row r="104" customFormat="false" ht="15" hidden="false" customHeight="false" outlineLevel="0" collapsed="false">
      <c r="A104" s="200" t="str">
        <f aca="false">IFERROR(__xludf.dummyfunction("""COMPUTED_VALUE"""),"3.86")</f>
        <v>3.86</v>
      </c>
      <c r="B104" s="200" t="str">
        <f aca="false">IFERROR(__xludf.dummyfunction("""COMPUTED_VALUE"""),"3")</f>
        <v>3</v>
      </c>
      <c r="C104" s="207" t="str">
        <f aca="false">IFERROR(__xludf.dummyfunction("""COMPUTED_VALUE"""),"Políticas Acadêmicas")</f>
        <v>Políticas Acadêmicas</v>
      </c>
      <c r="D104" s="207" t="str">
        <f aca="false">IFERROR(__xludf.dummyfunction("""COMPUTED_VALUE"""),"Ampliar e fortalecer iniciativas dedicadas à promoção do bem-estar, da permanência, da saúde mental e da qualidade de vida de discentes.")</f>
        <v>Ampliar e fortalecer iniciativas dedicadas à promoção do bem-estar, da permanência, da saúde mental e da qualidade de vida de discentes.</v>
      </c>
      <c r="E104" s="207" t="str">
        <f aca="false">IFERROR(__xludf.dummyfunction("""COMPUTED_VALUE"""),"As políticas de atendimento aos estudantes")</f>
        <v>As políticas de atendimento aos estudantes</v>
      </c>
      <c r="F104" s="200" t="str">
        <f aca="false">IFERROR(__xludf.dummyfunction("""COMPUTED_VALUE"""),"PRAE")</f>
        <v>PRAE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</row>
    <row r="105" customFormat="false" ht="15" hidden="false" customHeight="false" outlineLevel="0" collapsed="false">
      <c r="A105" s="200" t="str">
        <f aca="false">IFERROR(__xludf.dummyfunction("""COMPUTED_VALUE"""),"3.87")</f>
        <v>3.87</v>
      </c>
      <c r="B105" s="200" t="str">
        <f aca="false">IFERROR(__xludf.dummyfunction("""COMPUTED_VALUE"""),"3")</f>
        <v>3</v>
      </c>
      <c r="C105" s="207" t="str">
        <f aca="false">IFERROR(__xludf.dummyfunction("""COMPUTED_VALUE"""),"Políticas Acadêmicas")</f>
        <v>Políticas Acadêmicas</v>
      </c>
      <c r="D105" s="207" t="str">
        <f aca="false">IFERROR(__xludf.dummyfunction("""COMPUTED_VALUE"""),"Fortalecer ações voltadas à inclusão e acessibilidade nas unidades acadêmicas da UNILA;")</f>
        <v>Fortalecer ações voltadas à inclusão e acessibilidade nas unidades acadêmicas da UNILA;</v>
      </c>
      <c r="E105" s="207" t="str">
        <f aca="false">IFERROR(__xludf.dummyfunction("""COMPUTED_VALUE"""),"As políticas de atendimento aos estudantes")</f>
        <v>As políticas de atendimento aos estudantes</v>
      </c>
      <c r="F105" s="200" t="str">
        <f aca="false">IFERROR(__xludf.dummyfunction("""COMPUTED_VALUE"""),"PRAE / PROGRAD / SECIC / PROAGI")</f>
        <v>PRAE / PROGRAD / SECIC / PROAGI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</row>
    <row r="106" customFormat="false" ht="15" hidden="false" customHeight="false" outlineLevel="0" collapsed="false">
      <c r="A106" s="200" t="str">
        <f aca="false">IFERROR(__xludf.dummyfunction("""COMPUTED_VALUE"""),"3.88")</f>
        <v>3.88</v>
      </c>
      <c r="B106" s="200" t="str">
        <f aca="false">IFERROR(__xludf.dummyfunction("""COMPUTED_VALUE"""),"3")</f>
        <v>3</v>
      </c>
      <c r="C106" s="207" t="str">
        <f aca="false">IFERROR(__xludf.dummyfunction("""COMPUTED_VALUE"""),"Políticas Acadêmicas")</f>
        <v>Políticas Acadêmicas</v>
      </c>
      <c r="D106" s="207" t="str">
        <f aca="false">IFERROR(__xludf.dummyfunction("""COMPUTED_VALUE"""),"Implementar projetos de melhoria contínua da mobilidade e acessibilidade;")</f>
        <v>Implementar projetos de melhoria contínua da mobilidade e acessibilidade;</v>
      </c>
      <c r="E106" s="207" t="str">
        <f aca="false">IFERROR(__xludf.dummyfunction("""COMPUTED_VALUE"""),"As políticas de atendimento aos estudantes")</f>
        <v>As políticas de atendimento aos estudantes</v>
      </c>
      <c r="F106" s="200" t="str">
        <f aca="false">IFERROR(__xludf.dummyfunction("""COMPUTED_VALUE"""),"PRAE / PROGRAD / SECIC / PROAGI")</f>
        <v>PRAE / PROGRAD / SECIC / PROAGI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</row>
    <row r="107" customFormat="false" ht="15" hidden="false" customHeight="false" outlineLevel="0" collapsed="false">
      <c r="A107" s="200" t="str">
        <f aca="false">IFERROR(__xludf.dummyfunction("""COMPUTED_VALUE"""),"4.1")</f>
        <v>4.1</v>
      </c>
      <c r="B107" s="200" t="str">
        <f aca="false">IFERROR(__xludf.dummyfunction("""COMPUTED_VALUE"""),"4")</f>
        <v>4</v>
      </c>
      <c r="C107" s="207" t="str">
        <f aca="false">IFERROR(__xludf.dummyfunction("""COMPUTED_VALUE"""),"Políticas de Gestão")</f>
        <v>Políticas de Gestão</v>
      </c>
      <c r="D107" s="207" t="str">
        <f aca="false">IFERROR(__xludf.dummyfunction("""COMPUTED_VALUE"""),"Avaliar e aprimorar os critérios para distribuição orçamentária entre as unidades administrativas e acadêmicas;")</f>
        <v>Avaliar e aprimorar os critérios para distribuição orçamentária entre as unidades administrativas e acadêmicas;</v>
      </c>
      <c r="E107" s="207" t="str">
        <f aca="false">IFERROR(__xludf.dummyfunction("""COMPUTED_VALUE"""),"A sustentabilidade financeira")</f>
        <v>A sustentabilidade financeira</v>
      </c>
      <c r="F107" s="200" t="str">
        <f aca="false">IFERROR(__xludf.dummyfunction("""COMPUTED_VALUE"""),"REITORIA / GB / PROPLAN")</f>
        <v>REITORIA / GB / PROPLAN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</row>
    <row r="108" customFormat="false" ht="15" hidden="false" customHeight="false" outlineLevel="0" collapsed="false">
      <c r="A108" s="200" t="str">
        <f aca="false">IFERROR(__xludf.dummyfunction("""COMPUTED_VALUE"""),"4.2")</f>
        <v>4.2</v>
      </c>
      <c r="B108" s="200" t="str">
        <f aca="false">IFERROR(__xludf.dummyfunction("""COMPUTED_VALUE"""),"4")</f>
        <v>4</v>
      </c>
      <c r="C108" s="207" t="str">
        <f aca="false">IFERROR(__xludf.dummyfunction("""COMPUTED_VALUE"""),"Políticas de Gestão")</f>
        <v>Políticas de Gestão</v>
      </c>
      <c r="D108" s="207" t="str">
        <f aca="false">IFERROR(__xludf.dummyfunction("""COMPUTED_VALUE"""),"Zelar pela transparência orçamentária, submetendo o plano de execução orçamentária anual ao Conselho Universitário e divulgando-o amplamente;")</f>
        <v>Zelar pela transparência orçamentária, submetendo o plano de execução orçamentária anual ao Conselho Universitário e divulgando-o amplamente;</v>
      </c>
      <c r="E108" s="207" t="str">
        <f aca="false">IFERROR(__xludf.dummyfunction("""COMPUTED_VALUE"""),"A sustentabilidade financeira")</f>
        <v>A sustentabilidade financeira</v>
      </c>
      <c r="F108" s="200" t="str">
        <f aca="false">IFERROR(__xludf.dummyfunction("""COMPUTED_VALUE"""),"PROPLAN")</f>
        <v>PROPLAN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</row>
    <row r="109" customFormat="false" ht="15" hidden="false" customHeight="false" outlineLevel="0" collapsed="false">
      <c r="A109" s="200" t="str">
        <f aca="false">IFERROR(__xludf.dummyfunction("""COMPUTED_VALUE"""),"4.3")</f>
        <v>4.3</v>
      </c>
      <c r="B109" s="200" t="str">
        <f aca="false">IFERROR(__xludf.dummyfunction("""COMPUTED_VALUE"""),"4")</f>
        <v>4</v>
      </c>
      <c r="C109" s="207" t="str">
        <f aca="false">IFERROR(__xludf.dummyfunction("""COMPUTED_VALUE"""),"Políticas de Gestão")</f>
        <v>Políticas de Gestão</v>
      </c>
      <c r="D109" s="207" t="str">
        <f aca="false">IFERROR(__xludf.dummyfunction("""COMPUTED_VALUE"""),"Zelar pelo alinhamento estratégico da gestão orçamentária ao PDI;")</f>
        <v>Zelar pelo alinhamento estratégico da gestão orçamentária ao PDI;</v>
      </c>
      <c r="E109" s="207" t="str">
        <f aca="false">IFERROR(__xludf.dummyfunction("""COMPUTED_VALUE"""),"A sustentabilidade financeira")</f>
        <v>A sustentabilidade financeira</v>
      </c>
      <c r="F109" s="200" t="str">
        <f aca="false">IFERROR(__xludf.dummyfunction("""COMPUTED_VALUE"""),"PROPLAN")</f>
        <v>PROPLAN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</row>
    <row r="110" customFormat="false" ht="15" hidden="false" customHeight="false" outlineLevel="0" collapsed="false">
      <c r="A110" s="200" t="str">
        <f aca="false">IFERROR(__xludf.dummyfunction("""COMPUTED_VALUE"""),"4.4")</f>
        <v>4.4</v>
      </c>
      <c r="B110" s="200" t="str">
        <f aca="false">IFERROR(__xludf.dummyfunction("""COMPUTED_VALUE"""),"4")</f>
        <v>4</v>
      </c>
      <c r="C110" s="207" t="str">
        <f aca="false">IFERROR(__xludf.dummyfunction("""COMPUTED_VALUE"""),"Políticas de Gestão")</f>
        <v>Políticas de Gestão</v>
      </c>
      <c r="D110" s="207" t="str">
        <f aca="false">IFERROR(__xludf.dummyfunction("""COMPUTED_VALUE"""),"Implantar mecanismos estratégicos para a captação de recursos.")</f>
        <v>Implantar mecanismos estratégicos para a captação de recursos.</v>
      </c>
      <c r="E110" s="207" t="str">
        <f aca="false">IFERROR(__xludf.dummyfunction("""COMPUTED_VALUE"""),"A sustentabilidade financeira")</f>
        <v>A sustentabilidade financeira</v>
      </c>
      <c r="F110" s="200" t="str">
        <f aca="false">IFERROR(__xludf.dummyfunction("""COMPUTED_VALUE"""),"REITORIA / GB")</f>
        <v>REITORIA / GB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</row>
    <row r="111" customFormat="false" ht="15" hidden="false" customHeight="false" outlineLevel="0" collapsed="false">
      <c r="A111" s="200" t="str">
        <f aca="false">IFERROR(__xludf.dummyfunction("""COMPUTED_VALUE"""),"4.5")</f>
        <v>4.5</v>
      </c>
      <c r="B111" s="200" t="str">
        <f aca="false">IFERROR(__xludf.dummyfunction("""COMPUTED_VALUE"""),"4")</f>
        <v>4</v>
      </c>
      <c r="C111" s="207" t="str">
        <f aca="false">IFERROR(__xludf.dummyfunction("""COMPUTED_VALUE"""),"Políticas de Gestão")</f>
        <v>Políticas de Gestão</v>
      </c>
      <c r="D111" s="207" t="str">
        <f aca="false">IFERROR(__xludf.dummyfunction("""COMPUTED_VALUE"""),"Implementar projetos de arrecadação com vistas à aplicação de investimentos em infraestrutura;")</f>
        <v>Implementar projetos de arrecadação com vistas à aplicação de investimentos em infraestrutura;</v>
      </c>
      <c r="E111" s="207" t="str">
        <f aca="false">IFERROR(__xludf.dummyfunction("""COMPUTED_VALUE"""),"A sustentabilidade financeira")</f>
        <v>A sustentabilidade financeira</v>
      </c>
      <c r="F111" s="200" t="str">
        <f aca="false">IFERROR(__xludf.dummyfunction("""COMPUTED_VALUE"""),"REITORIA / GB")</f>
        <v>REITORIA / GB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</row>
    <row r="112" customFormat="false" ht="15" hidden="false" customHeight="false" outlineLevel="0" collapsed="false">
      <c r="A112" s="200" t="str">
        <f aca="false">IFERROR(__xludf.dummyfunction("""COMPUTED_VALUE"""),"4.6")</f>
        <v>4.6</v>
      </c>
      <c r="B112" s="200" t="str">
        <f aca="false">IFERROR(__xludf.dummyfunction("""COMPUTED_VALUE"""),"4")</f>
        <v>4</v>
      </c>
      <c r="C112" s="207" t="str">
        <f aca="false">IFERROR(__xludf.dummyfunction("""COMPUTED_VALUE"""),"Políticas de Gestão")</f>
        <v>Políticas de Gestão</v>
      </c>
      <c r="D112" s="207" t="str">
        <f aca="false">IFERROR(__xludf.dummyfunction("""COMPUTED_VALUE"""),"Ampliar a transparência institucional em conformidade com a Lei de Acesso à Informação Pública;")</f>
        <v>Ampliar a transparência institucional em conformidade com a Lei de Acesso à Informação Pública;</v>
      </c>
      <c r="E112" s="207" t="str">
        <f aca="false">IFERROR(__xludf.dummyfunction("""COMPUTED_VALUE"""),"A organização e gestão da instituição")</f>
        <v>A organização e gestão da instituição</v>
      </c>
      <c r="F112" s="200" t="str">
        <f aca="false">IFERROR(__xludf.dummyfunction("""COMPUTED_VALUE"""),"REITORIA / GB / CIRI")</f>
        <v>REITORIA / GB / CIRI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</row>
    <row r="113" customFormat="false" ht="15" hidden="false" customHeight="false" outlineLevel="0" collapsed="false">
      <c r="A113" s="200" t="str">
        <f aca="false">IFERROR(__xludf.dummyfunction("""COMPUTED_VALUE"""),"4.7")</f>
        <v>4.7</v>
      </c>
      <c r="B113" s="200" t="str">
        <f aca="false">IFERROR(__xludf.dummyfunction("""COMPUTED_VALUE"""),"4")</f>
        <v>4</v>
      </c>
      <c r="C113" s="207" t="str">
        <f aca="false">IFERROR(__xludf.dummyfunction("""COMPUTED_VALUE"""),"Políticas de Gestão")</f>
        <v>Políticas de Gestão</v>
      </c>
      <c r="D113" s="207" t="str">
        <f aca="false">IFERROR(__xludf.dummyfunction("""COMPUTED_VALUE"""),"Revisar e consolidar rotinas, processos administrativos e atos oficiais, realizando, quando necessário, adequações no Sistema Integrado de Gestão, de forma a favorecer a transparência, otimizar os recursos e aprimorar os fluxos de trabalho;")</f>
        <v>Revisar e consolidar rotinas, processos administrativos e atos oficiais, realizando, quando necessário, adequações no Sistema Integrado de Gestão, de forma a favorecer a transparência, otimizar os recursos e aprimorar os fluxos de trabalho;</v>
      </c>
      <c r="E113" s="207" t="str">
        <f aca="false">IFERROR(__xludf.dummyfunction("""COMPUTED_VALUE"""),"A organização e gestão da instituição")</f>
        <v>A organização e gestão da instituição</v>
      </c>
      <c r="F113" s="200" t="str">
        <f aca="false">IFERROR(__xludf.dummyfunction("""COMPUTED_VALUE"""),"TODOS")</f>
        <v>TODOS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</row>
    <row r="114" customFormat="false" ht="15" hidden="false" customHeight="false" outlineLevel="0" collapsed="false">
      <c r="A114" s="200" t="str">
        <f aca="false">IFERROR(__xludf.dummyfunction("""COMPUTED_VALUE"""),"4.8")</f>
        <v>4.8</v>
      </c>
      <c r="B114" s="200" t="str">
        <f aca="false">IFERROR(__xludf.dummyfunction("""COMPUTED_VALUE"""),"4")</f>
        <v>4</v>
      </c>
      <c r="C114" s="207" t="str">
        <f aca="false">IFERROR(__xludf.dummyfunction("""COMPUTED_VALUE"""),"Políticas de Gestão")</f>
        <v>Políticas de Gestão</v>
      </c>
      <c r="D114" s="207" t="str">
        <f aca="false">IFERROR(__xludf.dummyfunction("""COMPUTED_VALUE"""),"Construir e implementar uma política de comunicação institucional;")</f>
        <v>Construir e implementar uma política de comunicação institucional;</v>
      </c>
      <c r="E114" s="207" t="str">
        <f aca="false">IFERROR(__xludf.dummyfunction("""COMPUTED_VALUE"""),"A organização e gestão da instituição")</f>
        <v>A organização e gestão da instituição</v>
      </c>
      <c r="F114" s="200" t="str">
        <f aca="false">IFERROR(__xludf.dummyfunction("""COMPUTED_VALUE"""),"REITORIA / GB / SECOM")</f>
        <v>REITORIA / GB / SECOM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</row>
    <row r="115" customFormat="false" ht="15" hidden="false" customHeight="false" outlineLevel="0" collapsed="false">
      <c r="A115" s="200" t="str">
        <f aca="false">IFERROR(__xludf.dummyfunction("""COMPUTED_VALUE"""),"4.9")</f>
        <v>4.9</v>
      </c>
      <c r="B115" s="200" t="str">
        <f aca="false">IFERROR(__xludf.dummyfunction("""COMPUTED_VALUE"""),"4")</f>
        <v>4</v>
      </c>
      <c r="C115" s="207" t="str">
        <f aca="false">IFERROR(__xludf.dummyfunction("""COMPUTED_VALUE"""),"Políticas de Gestão")</f>
        <v>Políticas de Gestão</v>
      </c>
      <c r="D115" s="207" t="str">
        <f aca="false">IFERROR(__xludf.dummyfunction("""COMPUTED_VALUE"""),"Institucionalizar fluxo único de entrada de manifestações, fortalecendo a interlocução entre Ouvidoria, Serviço de Informação ao Cidadão, Comissão de Ética e Corregedoria Seccional;")</f>
        <v>Institucionalizar fluxo único de entrada de manifestações, fortalecendo a interlocução entre Ouvidoria, Serviço de Informação ao Cidadão, Comissão de Ética e Corregedoria Seccional;</v>
      </c>
      <c r="E115" s="207" t="str">
        <f aca="false">IFERROR(__xludf.dummyfunction("""COMPUTED_VALUE"""),"A organização e gestão da instituição")</f>
        <v>A organização e gestão da instituição</v>
      </c>
      <c r="F115" s="200" t="str">
        <f aca="false">IFERROR(__xludf.dummyfunction("""COMPUTED_VALUE"""),"OUVIDORIA")</f>
        <v>OUVIDORIA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</row>
    <row r="116" customFormat="false" ht="15" hidden="false" customHeight="false" outlineLevel="0" collapsed="false">
      <c r="A116" s="200" t="str">
        <f aca="false">IFERROR(__xludf.dummyfunction("""COMPUTED_VALUE"""),"4.10")</f>
        <v>4.10</v>
      </c>
      <c r="B116" s="200" t="str">
        <f aca="false">IFERROR(__xludf.dummyfunction("""COMPUTED_VALUE"""),"4")</f>
        <v>4</v>
      </c>
      <c r="C116" s="207" t="str">
        <f aca="false">IFERROR(__xludf.dummyfunction("""COMPUTED_VALUE"""),"Políticas de Gestão")</f>
        <v>Políticas de Gestão</v>
      </c>
      <c r="D116" s="207" t="str">
        <f aca="false">IFERROR(__xludf.dummyfunction("""COMPUTED_VALUE"""),"Fortalecer a atuação da EDUNILA interna e externamente à UNILA;")</f>
        <v>Fortalecer a atuação da EDUNILA interna e externamente à UNILA;</v>
      </c>
      <c r="E116" s="207" t="str">
        <f aca="false">IFERROR(__xludf.dummyfunction("""COMPUTED_VALUE"""),"A organização e gestão da instituição")</f>
        <v>A organização e gestão da instituição</v>
      </c>
      <c r="F116" s="200" t="str">
        <f aca="false">IFERROR(__xludf.dummyfunction("""COMPUTED_VALUE"""),"REITORIA / GB / EDUNILA")</f>
        <v>REITORIA / GB / EDUNILA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</row>
    <row r="117" customFormat="false" ht="15" hidden="false" customHeight="false" outlineLevel="0" collapsed="false">
      <c r="A117" s="200" t="str">
        <f aca="false">IFERROR(__xludf.dummyfunction("""COMPUTED_VALUE"""),"4.11")</f>
        <v>4.11</v>
      </c>
      <c r="B117" s="200" t="str">
        <f aca="false">IFERROR(__xludf.dummyfunction("""COMPUTED_VALUE"""),"4")</f>
        <v>4</v>
      </c>
      <c r="C117" s="207" t="str">
        <f aca="false">IFERROR(__xludf.dummyfunction("""COMPUTED_VALUE"""),"Políticas de Gestão")</f>
        <v>Políticas de Gestão</v>
      </c>
      <c r="D117" s="207" t="str">
        <f aca="false">IFERROR(__xludf.dummyfunction("""COMPUTED_VALUE"""),"Realizar reforma administrativa da UNILA;")</f>
        <v>Realizar reforma administrativa da UNILA;</v>
      </c>
      <c r="E117" s="207" t="str">
        <f aca="false">IFERROR(__xludf.dummyfunction("""COMPUTED_VALUE"""),"A organização e gestão da instituição")</f>
        <v>A organização e gestão da instituição</v>
      </c>
      <c r="F117" s="200" t="str">
        <f aca="false">IFERROR(__xludf.dummyfunction("""COMPUTED_VALUE"""),"REITORIA / GB")</f>
        <v>REITORIA / GB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</row>
    <row r="118" customFormat="false" ht="15" hidden="false" customHeight="false" outlineLevel="0" collapsed="false">
      <c r="A118" s="200" t="str">
        <f aca="false">IFERROR(__xludf.dummyfunction("""COMPUTED_VALUE"""),"4.12")</f>
        <v>4.12</v>
      </c>
      <c r="B118" s="200" t="str">
        <f aca="false">IFERROR(__xludf.dummyfunction("""COMPUTED_VALUE"""),"4")</f>
        <v>4</v>
      </c>
      <c r="C118" s="207" t="str">
        <f aca="false">IFERROR(__xludf.dummyfunction("""COMPUTED_VALUE"""),"Políticas de Gestão")</f>
        <v>Políticas de Gestão</v>
      </c>
      <c r="D118" s="207" t="str">
        <f aca="false">IFERROR(__xludf.dummyfunction("""COMPUTED_VALUE"""),"Garantir o adequado uso dos espaços por meio de normatizações que regrem suas utilizações;")</f>
        <v>Garantir o adequado uso dos espaços por meio de normatizações que regrem suas utilizações;</v>
      </c>
      <c r="E118" s="207" t="str">
        <f aca="false">IFERROR(__xludf.dummyfunction("""COMPUTED_VALUE"""),"A organização e gestão da instituição")</f>
        <v>A organização e gestão da instituição</v>
      </c>
      <c r="F118" s="200" t="str">
        <f aca="false">IFERROR(__xludf.dummyfunction("""COMPUTED_VALUE"""),"PROAGI")</f>
        <v>PROAGI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</row>
    <row r="119" customFormat="false" ht="15" hidden="false" customHeight="false" outlineLevel="0" collapsed="false">
      <c r="A119" s="200" t="str">
        <f aca="false">IFERROR(__xludf.dummyfunction("""COMPUTED_VALUE"""),"4.13")</f>
        <v>4.13</v>
      </c>
      <c r="B119" s="200" t="str">
        <f aca="false">IFERROR(__xludf.dummyfunction("""COMPUTED_VALUE"""),"4")</f>
        <v>4</v>
      </c>
      <c r="C119" s="207" t="str">
        <f aca="false">IFERROR(__xludf.dummyfunction("""COMPUTED_VALUE"""),"Políticas de Gestão")</f>
        <v>Políticas de Gestão</v>
      </c>
      <c r="D119" s="207" t="str">
        <f aca="false">IFERROR(__xludf.dummyfunction("""COMPUTED_VALUE"""),"Elaborar, aprovar e implementar plano de gestão e uso de espaços acadêmicos e administrativos com vistas à otimização do uso de espaços;")</f>
        <v>Elaborar, aprovar e implementar plano de gestão e uso de espaços acadêmicos e administrativos com vistas à otimização do uso de espaços;</v>
      </c>
      <c r="E119" s="207" t="str">
        <f aca="false">IFERROR(__xludf.dummyfunction("""COMPUTED_VALUE"""),"A organização e gestão da instituição")</f>
        <v>A organização e gestão da instituição</v>
      </c>
      <c r="F119" s="200" t="str">
        <f aca="false">IFERROR(__xludf.dummyfunction("""COMPUTED_VALUE"""),"PROAGI")</f>
        <v>PROAGI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</row>
    <row r="120" customFormat="false" ht="15" hidden="false" customHeight="false" outlineLevel="0" collapsed="false">
      <c r="A120" s="200" t="str">
        <f aca="false">IFERROR(__xludf.dummyfunction("""COMPUTED_VALUE"""),"4.14")</f>
        <v>4.14</v>
      </c>
      <c r="B120" s="200" t="str">
        <f aca="false">IFERROR(__xludf.dummyfunction("""COMPUTED_VALUE"""),"4")</f>
        <v>4</v>
      </c>
      <c r="C120" s="207" t="str">
        <f aca="false">IFERROR(__xludf.dummyfunction("""COMPUTED_VALUE"""),"Políticas de Gestão")</f>
        <v>Políticas de Gestão</v>
      </c>
      <c r="D120" s="207" t="str">
        <f aca="false">IFERROR(__xludf.dummyfunction("""COMPUTED_VALUE"""),"Estabelecer, em conjunto com as unidades acadêmicas, administrativas e colegiadas, plano e regras para compartilhamentos de espaços administrativos e acadêmicos;")</f>
        <v>Estabelecer, em conjunto com as unidades acadêmicas, administrativas e colegiadas, plano e regras para compartilhamentos de espaços administrativos e acadêmicos;</v>
      </c>
      <c r="E120" s="207" t="str">
        <f aca="false">IFERROR(__xludf.dummyfunction("""COMPUTED_VALUE"""),"A organização e gestão da instituição")</f>
        <v>A organização e gestão da instituição</v>
      </c>
      <c r="F120" s="200" t="str">
        <f aca="false">IFERROR(__xludf.dummyfunction("""COMPUTED_VALUE"""),"PROAGI")</f>
        <v>PROAGI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</row>
    <row r="121" customFormat="false" ht="15" hidden="false" customHeight="false" outlineLevel="0" collapsed="false">
      <c r="A121" s="200" t="str">
        <f aca="false">IFERROR(__xludf.dummyfunction("""COMPUTED_VALUE"""),"4.15")</f>
        <v>4.15</v>
      </c>
      <c r="B121" s="200" t="str">
        <f aca="false">IFERROR(__xludf.dummyfunction("""COMPUTED_VALUE"""),"4")</f>
        <v>4</v>
      </c>
      <c r="C121" s="207" t="str">
        <f aca="false">IFERROR(__xludf.dummyfunction("""COMPUTED_VALUE"""),"Políticas de Gestão")</f>
        <v>Políticas de Gestão</v>
      </c>
      <c r="D121" s="207" t="str">
        <f aca="false">IFERROR(__xludf.dummyfunction("""COMPUTED_VALUE"""),"Elaborar em conjunto com as unidades as políticas de identificação, acesso e de segurança patrimonial;")</f>
        <v>Elaborar em conjunto com as unidades as políticas de identificação, acesso e de segurança patrimonial;</v>
      </c>
      <c r="E121" s="207" t="str">
        <f aca="false">IFERROR(__xludf.dummyfunction("""COMPUTED_VALUE"""),"A organização e gestão da instituição")</f>
        <v>A organização e gestão da instituição</v>
      </c>
      <c r="F121" s="200" t="str">
        <f aca="false">IFERROR(__xludf.dummyfunction("""COMPUTED_VALUE"""),"PROAGI")</f>
        <v>PROAGI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</row>
    <row r="122" customFormat="false" ht="15" hidden="false" customHeight="false" outlineLevel="0" collapsed="false">
      <c r="A122" s="200" t="str">
        <f aca="false">IFERROR(__xludf.dummyfunction("""COMPUTED_VALUE"""),"4.16")</f>
        <v>4.16</v>
      </c>
      <c r="B122" s="200" t="str">
        <f aca="false">IFERROR(__xludf.dummyfunction("""COMPUTED_VALUE"""),"4")</f>
        <v>4</v>
      </c>
      <c r="C122" s="207" t="str">
        <f aca="false">IFERROR(__xludf.dummyfunction("""COMPUTED_VALUE"""),"Políticas de Gestão")</f>
        <v>Políticas de Gestão</v>
      </c>
      <c r="D122" s="207" t="str">
        <f aca="false">IFERROR(__xludf.dummyfunction("""COMPUTED_VALUE"""),"Elaborar um plano de ações para monitoramento e segurança dos espaços ocupados pela UNILA;")</f>
        <v>Elaborar um plano de ações para monitoramento e segurança dos espaços ocupados pela UNILA;</v>
      </c>
      <c r="E122" s="207" t="str">
        <f aca="false">IFERROR(__xludf.dummyfunction("""COMPUTED_VALUE"""),"A organização e gestão da instituição")</f>
        <v>A organização e gestão da instituição</v>
      </c>
      <c r="F122" s="200" t="str">
        <f aca="false">IFERROR(__xludf.dummyfunction("""COMPUTED_VALUE"""),"REITORIA / GB / PROAGI")</f>
        <v>REITORIA / GB / PROAGI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</row>
    <row r="123" customFormat="false" ht="15" hidden="false" customHeight="false" outlineLevel="0" collapsed="false">
      <c r="A123" s="200" t="str">
        <f aca="false">IFERROR(__xludf.dummyfunction("""COMPUTED_VALUE"""),"4.17")</f>
        <v>4.17</v>
      </c>
      <c r="B123" s="200" t="str">
        <f aca="false">IFERROR(__xludf.dummyfunction("""COMPUTED_VALUE"""),"4")</f>
        <v>4</v>
      </c>
      <c r="C123" s="207" t="str">
        <f aca="false">IFERROR(__xludf.dummyfunction("""COMPUTED_VALUE"""),"Políticas de Gestão")</f>
        <v>Políticas de Gestão</v>
      </c>
      <c r="D123" s="207" t="str">
        <f aca="false">IFERROR(__xludf.dummyfunction("""COMPUTED_VALUE"""),"Realizar, em fluxo contínuo, campanhas educativas para orientações acerca de segurança na Universidade;")</f>
        <v>Realizar, em fluxo contínuo, campanhas educativas para orientações acerca de segurança na Universidade;</v>
      </c>
      <c r="E123" s="207" t="str">
        <f aca="false">IFERROR(__xludf.dummyfunction("""COMPUTED_VALUE"""),"A organização e gestão da instituição")</f>
        <v>A organização e gestão da instituição</v>
      </c>
      <c r="F123" s="200" t="str">
        <f aca="false">IFERROR(__xludf.dummyfunction("""COMPUTED_VALUE"""),"REITORIA / GB / PROAGI / SECOM")</f>
        <v>REITORIA / GB / PROAGI / SECOM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</row>
    <row r="124" customFormat="false" ht="15" hidden="false" customHeight="false" outlineLevel="0" collapsed="false">
      <c r="A124" s="200" t="str">
        <f aca="false">IFERROR(__xludf.dummyfunction("""COMPUTED_VALUE"""),"4.18")</f>
        <v>4.18</v>
      </c>
      <c r="B124" s="200" t="str">
        <f aca="false">IFERROR(__xludf.dummyfunction("""COMPUTED_VALUE"""),"4")</f>
        <v>4</v>
      </c>
      <c r="C124" s="207" t="str">
        <f aca="false">IFERROR(__xludf.dummyfunction("""COMPUTED_VALUE"""),"Políticas de Gestão")</f>
        <v>Políticas de Gestão</v>
      </c>
      <c r="D124" s="207" t="str">
        <f aca="false">IFERROR(__xludf.dummyfunction("""COMPUTED_VALUE"""),"Firmar parcerias com órgãos públicos para garantia de segurança nas regiões dos campi da UNILA;")</f>
        <v>Firmar parcerias com órgãos públicos para garantia de segurança nas regiões dos campi da UNILA;</v>
      </c>
      <c r="E124" s="207" t="str">
        <f aca="false">IFERROR(__xludf.dummyfunction("""COMPUTED_VALUE"""),"A organização e gestão da instituição")</f>
        <v>A organização e gestão da instituição</v>
      </c>
      <c r="F124" s="200" t="str">
        <f aca="false">IFERROR(__xludf.dummyfunction("""COMPUTED_VALUE"""),"REITORIA / GB")</f>
        <v>REITORIA / GB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</row>
    <row r="125" customFormat="false" ht="15" hidden="false" customHeight="false" outlineLevel="0" collapsed="false">
      <c r="A125" s="200" t="str">
        <f aca="false">IFERROR(__xludf.dummyfunction("""COMPUTED_VALUE"""),"4.19")</f>
        <v>4.19</v>
      </c>
      <c r="B125" s="200" t="str">
        <f aca="false">IFERROR(__xludf.dummyfunction("""COMPUTED_VALUE"""),"4")</f>
        <v>4</v>
      </c>
      <c r="C125" s="207" t="str">
        <f aca="false">IFERROR(__xludf.dummyfunction("""COMPUTED_VALUE"""),"Políticas de Gestão")</f>
        <v>Políticas de Gestão</v>
      </c>
      <c r="D125" s="207" t="str">
        <f aca="false">IFERROR(__xludf.dummyfunction("""COMPUTED_VALUE"""),"Avaliar e aprimorar a estrutura de segurança da informação e comunicação institucional, fortalecendo a estrutura de governança;")</f>
        <v>Avaliar e aprimorar a estrutura de segurança da informação e comunicação institucional, fortalecendo a estrutura de governança;</v>
      </c>
      <c r="E125" s="207" t="str">
        <f aca="false">IFERROR(__xludf.dummyfunction("""COMPUTED_VALUE"""),"A organização e gestão da instituição")</f>
        <v>A organização e gestão da instituição</v>
      </c>
      <c r="F125" s="200" t="str">
        <f aca="false">IFERROR(__xludf.dummyfunction("""COMPUTED_VALUE"""),"REITORIA / GB / PROAGI")</f>
        <v>REITORIA / GB / PROAGI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</row>
    <row r="126" customFormat="false" ht="15" hidden="false" customHeight="false" outlineLevel="0" collapsed="false">
      <c r="A126" s="200" t="str">
        <f aca="false">IFERROR(__xludf.dummyfunction("""COMPUTED_VALUE"""),"4.20")</f>
        <v>4.20</v>
      </c>
      <c r="B126" s="200" t="str">
        <f aca="false">IFERROR(__xludf.dummyfunction("""COMPUTED_VALUE"""),"4")</f>
        <v>4</v>
      </c>
      <c r="C126" s="207" t="str">
        <f aca="false">IFERROR(__xludf.dummyfunction("""COMPUTED_VALUE"""),"Políticas de Gestão")</f>
        <v>Políticas de Gestão</v>
      </c>
      <c r="D126" s="207" t="str">
        <f aca="false">IFERROR(__xludf.dummyfunction("""COMPUTED_VALUE"""),"Realizar a otimização do uso dos espaços locados, e reavaliar os contratos firmados, com intuito de buscar alternativas para a redução dos gastos com aluguéis;")</f>
        <v>Realizar a otimização do uso dos espaços locados, e reavaliar os contratos firmados, com intuito de buscar alternativas para a redução dos gastos com aluguéis;</v>
      </c>
      <c r="E126" s="207" t="str">
        <f aca="false">IFERROR(__xludf.dummyfunction("""COMPUTED_VALUE"""),"A organização e gestão da instituição")</f>
        <v>A organização e gestão da instituição</v>
      </c>
      <c r="F126" s="200" t="str">
        <f aca="false">IFERROR(__xludf.dummyfunction("""COMPUTED_VALUE"""),"REITORIA / GB / PROAGI / SECIC")</f>
        <v>REITORIA / GB / PROAGI / SECIC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</row>
    <row r="127" customFormat="false" ht="15" hidden="false" customHeight="false" outlineLevel="0" collapsed="false">
      <c r="A127" s="200" t="str">
        <f aca="false">IFERROR(__xludf.dummyfunction("""COMPUTED_VALUE"""),"4.21")</f>
        <v>4.21</v>
      </c>
      <c r="B127" s="200" t="str">
        <f aca="false">IFERROR(__xludf.dummyfunction("""COMPUTED_VALUE"""),"4")</f>
        <v>4</v>
      </c>
      <c r="C127" s="207" t="str">
        <f aca="false">IFERROR(__xludf.dummyfunction("""COMPUTED_VALUE"""),"Políticas de Gestão")</f>
        <v>Políticas de Gestão</v>
      </c>
      <c r="D127" s="207" t="str">
        <f aca="false">IFERROR(__xludf.dummyfunction("""COMPUTED_VALUE"""),"Instituir comitê de crise para atuação em caso de necessidade;")</f>
        <v>Instituir comitê de crise para atuação em caso de necessidade;</v>
      </c>
      <c r="E127" s="207" t="str">
        <f aca="false">IFERROR(__xludf.dummyfunction("""COMPUTED_VALUE"""),"A organização e gestão da instituição")</f>
        <v>A organização e gestão da instituição</v>
      </c>
      <c r="F127" s="200" t="str">
        <f aca="false">IFERROR(__xludf.dummyfunction("""COMPUTED_VALUE"""),"REITORIA / GB")</f>
        <v>REITORIA / GB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</row>
    <row r="128" customFormat="false" ht="15" hidden="false" customHeight="false" outlineLevel="0" collapsed="false">
      <c r="A128" s="200" t="str">
        <f aca="false">IFERROR(__xludf.dummyfunction("""COMPUTED_VALUE"""),"4.22")</f>
        <v>4.22</v>
      </c>
      <c r="B128" s="200" t="str">
        <f aca="false">IFERROR(__xludf.dummyfunction("""COMPUTED_VALUE"""),"4")</f>
        <v>4</v>
      </c>
      <c r="C128" s="207" t="str">
        <f aca="false">IFERROR(__xludf.dummyfunction("""COMPUTED_VALUE"""),"Políticas de Gestão")</f>
        <v>Políticas de Gestão</v>
      </c>
      <c r="D128" s="207" t="str">
        <f aca="false">IFERROR(__xludf.dummyfunction("""COMPUTED_VALUE"""),"Estabelecer mecanismos de controle, acompanhamento e resolução de problemas persistentes registrados em relatórios da Ouvidoria;")</f>
        <v>Estabelecer mecanismos de controle, acompanhamento e resolução de problemas persistentes registrados em relatórios da Ouvidoria;</v>
      </c>
      <c r="E128" s="207" t="str">
        <f aca="false">IFERROR(__xludf.dummyfunction("""COMPUTED_VALUE"""),"A organização e gestão da instituição")</f>
        <v>A organização e gestão da instituição</v>
      </c>
      <c r="F128" s="200" t="str">
        <f aca="false">IFERROR(__xludf.dummyfunction("""COMPUTED_VALUE"""),"REITORIA / GB / OUVIDORIA")</f>
        <v>REITORIA / GB / OUVIDORIA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</row>
    <row r="129" customFormat="false" ht="15" hidden="false" customHeight="false" outlineLevel="0" collapsed="false">
      <c r="A129" s="200" t="str">
        <f aca="false">IFERROR(__xludf.dummyfunction("""COMPUTED_VALUE"""),"4.23")</f>
        <v>4.23</v>
      </c>
      <c r="B129" s="200" t="str">
        <f aca="false">IFERROR(__xludf.dummyfunction("""COMPUTED_VALUE"""),"4")</f>
        <v>4</v>
      </c>
      <c r="C129" s="207" t="str">
        <f aca="false">IFERROR(__xludf.dummyfunction("""COMPUTED_VALUE"""),"Políticas de Gestão")</f>
        <v>Políticas de Gestão</v>
      </c>
      <c r="D129" s="207" t="str">
        <f aca="false">IFERROR(__xludf.dummyfunction("""COMPUTED_VALUE"""),"Aprovar e implementar, nos termos da legislação, Plano de Gestão de Logística Sustentável;")</f>
        <v>Aprovar e implementar, nos termos da legislação, Plano de Gestão de Logística Sustentável;</v>
      </c>
      <c r="E129" s="207" t="str">
        <f aca="false">IFERROR(__xludf.dummyfunction("""COMPUTED_VALUE"""),"A organização e gestão da instituição")</f>
        <v>A organização e gestão da instituição</v>
      </c>
      <c r="F129" s="200" t="str">
        <f aca="false">IFERROR(__xludf.dummyfunction("""COMPUTED_VALUE"""),"REITORIA / GB / PROAGI")</f>
        <v>REITORIA / GB / PROAGI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</row>
    <row r="130" customFormat="false" ht="15" hidden="false" customHeight="false" outlineLevel="0" collapsed="false">
      <c r="A130" s="200" t="str">
        <f aca="false">IFERROR(__xludf.dummyfunction("""COMPUTED_VALUE"""),"4.24")</f>
        <v>4.24</v>
      </c>
      <c r="B130" s="200" t="str">
        <f aca="false">IFERROR(__xludf.dummyfunction("""COMPUTED_VALUE"""),"4")</f>
        <v>4</v>
      </c>
      <c r="C130" s="207" t="str">
        <f aca="false">IFERROR(__xludf.dummyfunction("""COMPUTED_VALUE"""),"Políticas de Gestão")</f>
        <v>Políticas de Gestão</v>
      </c>
      <c r="D130" s="207" t="str">
        <f aca="false">IFERROR(__xludf.dummyfunction("""COMPUTED_VALUE"""),"Instituir o Conselho Curador;")</f>
        <v>Instituir o Conselho Curador;</v>
      </c>
      <c r="E130" s="207" t="str">
        <f aca="false">IFERROR(__xludf.dummyfunction("""COMPUTED_VALUE"""),"A organização e gestão da instituição")</f>
        <v>A organização e gestão da instituição</v>
      </c>
      <c r="F130" s="200" t="str">
        <f aca="false">IFERROR(__xludf.dummyfunction("""COMPUTED_VALUE"""),"REITORIA / GB")</f>
        <v>REITORIA / GB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</row>
    <row r="131" customFormat="false" ht="15" hidden="false" customHeight="false" outlineLevel="0" collapsed="false">
      <c r="A131" s="200" t="str">
        <f aca="false">IFERROR(__xludf.dummyfunction("""COMPUTED_VALUE"""),"4.25")</f>
        <v>4.25</v>
      </c>
      <c r="B131" s="200" t="str">
        <f aca="false">IFERROR(__xludf.dummyfunction("""COMPUTED_VALUE"""),"4")</f>
        <v>4</v>
      </c>
      <c r="C131" s="207" t="str">
        <f aca="false">IFERROR(__xludf.dummyfunction("""COMPUTED_VALUE"""),"Políticas de Gestão")</f>
        <v>Políticas de Gestão</v>
      </c>
      <c r="D131" s="207" t="str">
        <f aca="false">IFERROR(__xludf.dummyfunction("""COMPUTED_VALUE"""),"Avaliar e aprimorar o código disciplinar aplicado a discentes e o código disciplinar aplicado a servidores;")</f>
        <v>Avaliar e aprimorar o código disciplinar aplicado a discentes e o código disciplinar aplicado a servidores;</v>
      </c>
      <c r="E131" s="207" t="str">
        <f aca="false">IFERROR(__xludf.dummyfunction("""COMPUTED_VALUE"""),"A organização e gestão da instituição")</f>
        <v>A organização e gestão da instituição</v>
      </c>
      <c r="F131" s="200" t="str">
        <f aca="false">IFERROR(__xludf.dummyfunction("""COMPUTED_VALUE"""),"REITORIA / GB / CORREGEDORIA")</f>
        <v>REITORIA / GB / CORREGEDORIA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</row>
    <row r="132" customFormat="false" ht="15" hidden="false" customHeight="false" outlineLevel="0" collapsed="false">
      <c r="A132" s="200" t="str">
        <f aca="false">IFERROR(__xludf.dummyfunction("""COMPUTED_VALUE"""),"4.26")</f>
        <v>4.26</v>
      </c>
      <c r="B132" s="200" t="str">
        <f aca="false">IFERROR(__xludf.dummyfunction("""COMPUTED_VALUE"""),"4")</f>
        <v>4</v>
      </c>
      <c r="C132" s="207" t="str">
        <f aca="false">IFERROR(__xludf.dummyfunction("""COMPUTED_VALUE"""),"Políticas de Gestão")</f>
        <v>Políticas de Gestão</v>
      </c>
      <c r="D132" s="207" t="str">
        <f aca="false">IFERROR(__xludf.dummyfunction("""COMPUTED_VALUE"""),"Fortalecer o comitê gestor de TI;")</f>
        <v>Fortalecer o comitê gestor de TI;</v>
      </c>
      <c r="E132" s="207" t="str">
        <f aca="false">IFERROR(__xludf.dummyfunction("""COMPUTED_VALUE"""),"A organização e gestão da instituição")</f>
        <v>A organização e gestão da instituição</v>
      </c>
      <c r="F132" s="200" t="str">
        <f aca="false">IFERROR(__xludf.dummyfunction("""COMPUTED_VALUE"""),"REITORIA / GB / PROAGI")</f>
        <v>REITORIA / GB / PROAGI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</row>
    <row r="133" customFormat="false" ht="15" hidden="false" customHeight="false" outlineLevel="0" collapsed="false">
      <c r="A133" s="200" t="str">
        <f aca="false">IFERROR(__xludf.dummyfunction("""COMPUTED_VALUE"""),"4.27")</f>
        <v>4.27</v>
      </c>
      <c r="B133" s="200" t="str">
        <f aca="false">IFERROR(__xludf.dummyfunction("""COMPUTED_VALUE"""),"4")</f>
        <v>4</v>
      </c>
      <c r="C133" s="207" t="str">
        <f aca="false">IFERROR(__xludf.dummyfunction("""COMPUTED_VALUE"""),"Políticas de Gestão")</f>
        <v>Políticas de Gestão</v>
      </c>
      <c r="D133" s="207" t="str">
        <f aca="false">IFERROR(__xludf.dummyfunction("""COMPUTED_VALUE"""),"Fortalecer o Comitê Permanente de Governança, Integridade e Riscos;")</f>
        <v>Fortalecer o Comitê Permanente de Governança, Integridade e Riscos;</v>
      </c>
      <c r="E133" s="207" t="str">
        <f aca="false">IFERROR(__xludf.dummyfunction("""COMPUTED_VALUE"""),"A organização e gestão da instituição")</f>
        <v>A organização e gestão da instituição</v>
      </c>
      <c r="F133" s="200" t="str">
        <f aca="false">IFERROR(__xludf.dummyfunction("""COMPUTED_VALUE"""),"REITORIA / GB")</f>
        <v>REITORIA / GB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</row>
    <row r="134" customFormat="false" ht="15" hidden="false" customHeight="false" outlineLevel="0" collapsed="false">
      <c r="A134" s="200" t="str">
        <f aca="false">IFERROR(__xludf.dummyfunction("""COMPUTED_VALUE"""),"4.28")</f>
        <v>4.28</v>
      </c>
      <c r="B134" s="200" t="str">
        <f aca="false">IFERROR(__xludf.dummyfunction("""COMPUTED_VALUE"""),"4")</f>
        <v>4</v>
      </c>
      <c r="C134" s="207" t="str">
        <f aca="false">IFERROR(__xludf.dummyfunction("""COMPUTED_VALUE"""),"Políticas de Gestão")</f>
        <v>Políticas de Gestão</v>
      </c>
      <c r="D134" s="207" t="str">
        <f aca="false">IFERROR(__xludf.dummyfunction("""COMPUTED_VALUE"""),"Criar, aprovar e implementar a política de integridade da UNILA;")</f>
        <v>Criar, aprovar e implementar a política de integridade da UNILA;</v>
      </c>
      <c r="E134" s="207" t="str">
        <f aca="false">IFERROR(__xludf.dummyfunction("""COMPUTED_VALUE"""),"A organização e gestão da instituição")</f>
        <v>A organização e gestão da instituição</v>
      </c>
      <c r="F134" s="200" t="str">
        <f aca="false">IFERROR(__xludf.dummyfunction("""COMPUTED_VALUE"""),"REITORIA / GB / PROPLAN")</f>
        <v>REITORIA / GB / PROPLAN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</row>
    <row r="135" customFormat="false" ht="15" hidden="false" customHeight="false" outlineLevel="0" collapsed="false">
      <c r="A135" s="200" t="str">
        <f aca="false">IFERROR(__xludf.dummyfunction("""COMPUTED_VALUE"""),"4.29")</f>
        <v>4.29</v>
      </c>
      <c r="B135" s="200" t="str">
        <f aca="false">IFERROR(__xludf.dummyfunction("""COMPUTED_VALUE"""),"4")</f>
        <v>4</v>
      </c>
      <c r="C135" s="207" t="str">
        <f aca="false">IFERROR(__xludf.dummyfunction("""COMPUTED_VALUE"""),"Políticas de Gestão")</f>
        <v>Políticas de Gestão</v>
      </c>
      <c r="D135" s="207" t="str">
        <f aca="false">IFERROR(__xludf.dummyfunction("""COMPUTED_VALUE"""),"Implementar a política de gestão de riscos;")</f>
        <v>Implementar a política de gestão de riscos;</v>
      </c>
      <c r="E135" s="207" t="str">
        <f aca="false">IFERROR(__xludf.dummyfunction("""COMPUTED_VALUE"""),"A organização e gestão da instituição")</f>
        <v>A organização e gestão da instituição</v>
      </c>
      <c r="F135" s="200" t="str">
        <f aca="false">IFERROR(__xludf.dummyfunction("""COMPUTED_VALUE"""),"REITORIA / GB / PROPLAN")</f>
        <v>REITORIA / GB / PROPLAN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</row>
    <row r="136" customFormat="false" ht="15" hidden="false" customHeight="false" outlineLevel="0" collapsed="false">
      <c r="A136" s="200" t="str">
        <f aca="false">IFERROR(__xludf.dummyfunction("""COMPUTED_VALUE"""),"4.30")</f>
        <v>4.30</v>
      </c>
      <c r="B136" s="200" t="str">
        <f aca="false">IFERROR(__xludf.dummyfunction("""COMPUTED_VALUE"""),"4")</f>
        <v>4</v>
      </c>
      <c r="C136" s="207" t="str">
        <f aca="false">IFERROR(__xludf.dummyfunction("""COMPUTED_VALUE"""),"Políticas de Gestão")</f>
        <v>Políticas de Gestão</v>
      </c>
      <c r="D136" s="207" t="str">
        <f aca="false">IFERROR(__xludf.dummyfunction("""COMPUTED_VALUE"""),"Avaliar e aprimorar os mecanismos de governança;")</f>
        <v>Avaliar e aprimorar os mecanismos de governança;</v>
      </c>
      <c r="E136" s="207" t="str">
        <f aca="false">IFERROR(__xludf.dummyfunction("""COMPUTED_VALUE"""),"A organização e gestão da instituição")</f>
        <v>A organização e gestão da instituição</v>
      </c>
      <c r="F136" s="200" t="str">
        <f aca="false">IFERROR(__xludf.dummyfunction("""COMPUTED_VALUE"""),"PROPLAN")</f>
        <v>PROPLAN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</row>
    <row r="137" customFormat="false" ht="15" hidden="false" customHeight="false" outlineLevel="0" collapsed="false">
      <c r="A137" s="200" t="str">
        <f aca="false">IFERROR(__xludf.dummyfunction("""COMPUTED_VALUE"""),"4.31")</f>
        <v>4.31</v>
      </c>
      <c r="B137" s="200" t="str">
        <f aca="false">IFERROR(__xludf.dummyfunction("""COMPUTED_VALUE"""),"4")</f>
        <v>4</v>
      </c>
      <c r="C137" s="207" t="str">
        <f aca="false">IFERROR(__xludf.dummyfunction("""COMPUTED_VALUE"""),"Políticas de Gestão")</f>
        <v>Políticas de Gestão</v>
      </c>
      <c r="D137" s="207" t="str">
        <f aca="false">IFERROR(__xludf.dummyfunction("""COMPUTED_VALUE"""),"Apoiar o desenvolvimento e uso de serviços públicos digitais, alinhados à Estratégia de Governança Digital, como mecanismo de transparência e eficiência do serviço público;")</f>
        <v>Apoiar o desenvolvimento e uso de serviços públicos digitais, alinhados à Estratégia de Governança Digital, como mecanismo de transparência e eficiência do serviço público;</v>
      </c>
      <c r="E137" s="207" t="str">
        <f aca="false">IFERROR(__xludf.dummyfunction("""COMPUTED_VALUE"""),"A organização e gestão da instituição")</f>
        <v>A organização e gestão da instituição</v>
      </c>
      <c r="F137" s="200" t="str">
        <f aca="false">IFERROR(__xludf.dummyfunction("""COMPUTED_VALUE"""),"REITORIA / GB")</f>
        <v>REITORIA / GB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</row>
    <row r="138" customFormat="false" ht="15" hidden="false" customHeight="false" outlineLevel="0" collapsed="false">
      <c r="A138" s="200" t="str">
        <f aca="false">IFERROR(__xludf.dummyfunction("""COMPUTED_VALUE"""),"4.32")</f>
        <v>4.32</v>
      </c>
      <c r="B138" s="200" t="str">
        <f aca="false">IFERROR(__xludf.dummyfunction("""COMPUTED_VALUE"""),"4")</f>
        <v>4</v>
      </c>
      <c r="C138" s="207" t="str">
        <f aca="false">IFERROR(__xludf.dummyfunction("""COMPUTED_VALUE"""),"Políticas de Gestão")</f>
        <v>Políticas de Gestão</v>
      </c>
      <c r="D138" s="207" t="str">
        <f aca="false">IFERROR(__xludf.dummyfunction("""COMPUTED_VALUE"""),"Apoiar a publicação de dados abertos, fortalecendo a transparência ativa da Universidade;")</f>
        <v>Apoiar a publicação de dados abertos, fortalecendo a transparência ativa da Universidade;</v>
      </c>
      <c r="E138" s="207" t="str">
        <f aca="false">IFERROR(__xludf.dummyfunction("""COMPUTED_VALUE"""),"A organização e gestão da instituição")</f>
        <v>A organização e gestão da instituição</v>
      </c>
      <c r="F138" s="200" t="str">
        <f aca="false">IFERROR(__xludf.dummyfunction("""COMPUTED_VALUE"""),"REITORIA / GB")</f>
        <v>REITORIA / GB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</row>
    <row r="139" customFormat="false" ht="15" hidden="false" customHeight="false" outlineLevel="0" collapsed="false">
      <c r="A139" s="200" t="str">
        <f aca="false">IFERROR(__xludf.dummyfunction("""COMPUTED_VALUE"""),"4.33")</f>
        <v>4.33</v>
      </c>
      <c r="B139" s="200" t="str">
        <f aca="false">IFERROR(__xludf.dummyfunction("""COMPUTED_VALUE"""),"4")</f>
        <v>4</v>
      </c>
      <c r="C139" s="207" t="str">
        <f aca="false">IFERROR(__xludf.dummyfunction("""COMPUTED_VALUE"""),"Políticas de Gestão")</f>
        <v>Políticas de Gestão</v>
      </c>
      <c r="D139" s="207" t="str">
        <f aca="false">IFERROR(__xludf.dummyfunction("""COMPUTED_VALUE"""),"Efetuar modificações no portal eletrônico da UNILA, com vistas à maior visibilidade e transparência das ações de gestão.")</f>
        <v>Efetuar modificações no portal eletrônico da UNILA, com vistas à maior visibilidade e transparência das ações de gestão.</v>
      </c>
      <c r="E139" s="207" t="str">
        <f aca="false">IFERROR(__xludf.dummyfunction("""COMPUTED_VALUE"""),"A organização e gestão da instituição")</f>
        <v>A organização e gestão da instituição</v>
      </c>
      <c r="F139" s="200" t="str">
        <f aca="false">IFERROR(__xludf.dummyfunction("""COMPUTED_VALUE"""),"SECOM")</f>
        <v>SECOM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</row>
    <row r="140" customFormat="false" ht="15" hidden="false" customHeight="false" outlineLevel="0" collapsed="false">
      <c r="A140" s="200" t="str">
        <f aca="false">IFERROR(__xludf.dummyfunction("""COMPUTED_VALUE"""),"4.34")</f>
        <v>4.34</v>
      </c>
      <c r="B140" s="200" t="str">
        <f aca="false">IFERROR(__xludf.dummyfunction("""COMPUTED_VALUE"""),"4")</f>
        <v>4</v>
      </c>
      <c r="C140" s="207" t="str">
        <f aca="false">IFERROR(__xludf.dummyfunction("""COMPUTED_VALUE"""),"Políticas de Gestão")</f>
        <v>Políticas de Gestão</v>
      </c>
      <c r="D140" s="207" t="str">
        <f aca="false">IFERROR(__xludf.dummyfunction("""COMPUTED_VALUE"""),"Firmar e implementar convênios na região da Tríplice Fronteira, os quais possibilitem as divulgações científica e extensionista em diferentes espaços;")</f>
        <v>Firmar e implementar convênios na região da Tríplice Fronteira, os quais possibilitem as divulgações científica e extensionista em diferentes espaços;</v>
      </c>
      <c r="E140" s="207" t="str">
        <f aca="false">IFERROR(__xludf.dummyfunction("""COMPUTED_VALUE"""),"A organização e gestão da instituição")</f>
        <v>A organização e gestão da instituição</v>
      </c>
      <c r="F140" s="200" t="str">
        <f aca="false">IFERROR(__xludf.dummyfunction("""COMPUTED_VALUE"""),"REITORIA / GB / PROEX")</f>
        <v>REITORIA / GB / PROEX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</row>
    <row r="141" customFormat="false" ht="15" hidden="false" customHeight="false" outlineLevel="0" collapsed="false">
      <c r="A141" s="200" t="str">
        <f aca="false">IFERROR(__xludf.dummyfunction("""COMPUTED_VALUE"""),"4.35")</f>
        <v>4.35</v>
      </c>
      <c r="B141" s="200" t="str">
        <f aca="false">IFERROR(__xludf.dummyfunction("""COMPUTED_VALUE"""),"4")</f>
        <v>4</v>
      </c>
      <c r="C141" s="207" t="str">
        <f aca="false">IFERROR(__xludf.dummyfunction("""COMPUTED_VALUE"""),"Políticas de Gestão")</f>
        <v>Políticas de Gestão</v>
      </c>
      <c r="D141" s="207" t="str">
        <f aca="false">IFERROR(__xludf.dummyfunction("""COMPUTED_VALUE"""),"Desenvolver mecanismos para estímulo às publicações de livros de autores internacionais externos à UNILA, preferencialmente latino-americanos;")</f>
        <v>Desenvolver mecanismos para estímulo às publicações de livros de autores internacionais externos à UNILA, preferencialmente latino-americanos;</v>
      </c>
      <c r="E141" s="207" t="str">
        <f aca="false">IFERROR(__xludf.dummyfunction("""COMPUTED_VALUE"""),"A organização e gestão da instituição")</f>
        <v>A organização e gestão da instituição</v>
      </c>
      <c r="F141" s="200" t="str">
        <f aca="false">IFERROR(__xludf.dummyfunction("""COMPUTED_VALUE"""),"REITORIA / GB / EDUNILA")</f>
        <v>REITORIA / GB / EDUNILA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</row>
    <row r="142" customFormat="false" ht="15" hidden="false" customHeight="false" outlineLevel="0" collapsed="false">
      <c r="A142" s="200" t="str">
        <f aca="false">IFERROR(__xludf.dummyfunction("""COMPUTED_VALUE"""),"4.36")</f>
        <v>4.36</v>
      </c>
      <c r="B142" s="200" t="str">
        <f aca="false">IFERROR(__xludf.dummyfunction("""COMPUTED_VALUE"""),"4")</f>
        <v>4</v>
      </c>
      <c r="C142" s="207" t="str">
        <f aca="false">IFERROR(__xludf.dummyfunction("""COMPUTED_VALUE"""),"Políticas de Gestão")</f>
        <v>Políticas de Gestão</v>
      </c>
      <c r="D142" s="207" t="str">
        <f aca="false">IFERROR(__xludf.dummyfunction("""COMPUTED_VALUE"""),"Fortalecer o repositório institucional da UNILA tendo em vista a divulgação nacional / internacional de seu conteúdo, a preservação digital e a memória institucional, bem como a salvaguarda dos trabalhos acadêmicos;")</f>
        <v>Fortalecer o repositório institucional da UNILA tendo em vista a divulgação nacional / internacional de seu conteúdo, a preservação digital e a memória institucional, bem como a salvaguarda dos trabalhos acadêmicos;</v>
      </c>
      <c r="E142" s="207" t="str">
        <f aca="false">IFERROR(__xludf.dummyfunction("""COMPUTED_VALUE"""),"A organização e gestão da instituição")</f>
        <v>A organização e gestão da instituição</v>
      </c>
      <c r="F142" s="200" t="str">
        <f aca="false">IFERROR(__xludf.dummyfunction("""COMPUTED_VALUE"""),"REITORIA / GB / PROAGI / UNIDADES")</f>
        <v>REITORIA / GB / PROAGI / UNIDADES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</row>
    <row r="143" customFormat="false" ht="15" hidden="false" customHeight="false" outlineLevel="0" collapsed="false">
      <c r="A143" s="200" t="str">
        <f aca="false">IFERROR(__xludf.dummyfunction("""COMPUTED_VALUE"""),"4.37")</f>
        <v>4.37</v>
      </c>
      <c r="B143" s="200" t="str">
        <f aca="false">IFERROR(__xludf.dummyfunction("""COMPUTED_VALUE"""),"4")</f>
        <v>4</v>
      </c>
      <c r="C143" s="207" t="str">
        <f aca="false">IFERROR(__xludf.dummyfunction("""COMPUTED_VALUE"""),"Políticas de Gestão")</f>
        <v>Políticas de Gestão</v>
      </c>
      <c r="D143" s="207" t="str">
        <f aca="false">IFERROR(__xludf.dummyfunction("""COMPUTED_VALUE"""),"Construir soluções para garantir a tradução para o espanhol das informações do portal eletrônico da UNILA, das principais normativas da Instituição e de documentos que colaborem com os processos de reconhecimento de diplomas de egressos da UNILA;")</f>
        <v>Construir soluções para garantir a tradução para o espanhol das informações do portal eletrônico da UNILA, das principais normativas da Instituição e de documentos que colaborem com os processos de reconhecimento de diplomas de egressos da UNILA;</v>
      </c>
      <c r="E143" s="207" t="str">
        <f aca="false">IFERROR(__xludf.dummyfunction("""COMPUTED_VALUE"""),"A organização e gestão da instituição")</f>
        <v>A organização e gestão da instituição</v>
      </c>
      <c r="F143" s="200" t="str">
        <f aca="false">IFERROR(__xludf.dummyfunction("""COMPUTED_VALUE"""),"REITORIA / GB / PROINT")</f>
        <v>REITORIA / GB / PROINT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</row>
    <row r="144" customFormat="false" ht="15" hidden="false" customHeight="false" outlineLevel="0" collapsed="false">
      <c r="A144" s="200" t="str">
        <f aca="false">IFERROR(__xludf.dummyfunction("""COMPUTED_VALUE"""),"4.38")</f>
        <v>4.38</v>
      </c>
      <c r="B144" s="200" t="str">
        <f aca="false">IFERROR(__xludf.dummyfunction("""COMPUTED_VALUE"""),"4")</f>
        <v>4</v>
      </c>
      <c r="C144" s="207" t="str">
        <f aca="false">IFERROR(__xludf.dummyfunction("""COMPUTED_VALUE"""),"Políticas de Gestão")</f>
        <v>Políticas de Gestão</v>
      </c>
      <c r="D144" s="207" t="str">
        <f aca="false">IFERROR(__xludf.dummyfunction("""COMPUTED_VALUE"""),"Potencializar a divulgação dos cursos da universidade por meio da criação de materiais específicos a cada um deles;")</f>
        <v>Potencializar a divulgação dos cursos da universidade por meio da criação de materiais específicos a cada um deles;</v>
      </c>
      <c r="E144" s="207" t="str">
        <f aca="false">IFERROR(__xludf.dummyfunction("""COMPUTED_VALUE"""),"A organização e gestão da instituição")</f>
        <v>A organização e gestão da instituição</v>
      </c>
      <c r="F144" s="200" t="str">
        <f aca="false">IFERROR(__xludf.dummyfunction("""COMPUTED_VALUE"""),"REITORIA / GB / SECOM")</f>
        <v>REITORIA / GB / SECOM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</row>
    <row r="145" customFormat="false" ht="15" hidden="false" customHeight="false" outlineLevel="0" collapsed="false">
      <c r="A145" s="200" t="str">
        <f aca="false">IFERROR(__xludf.dummyfunction("""COMPUTED_VALUE"""),"4.39")</f>
        <v>4.39</v>
      </c>
      <c r="B145" s="200" t="str">
        <f aca="false">IFERROR(__xludf.dummyfunction("""COMPUTED_VALUE"""),"4")</f>
        <v>4</v>
      </c>
      <c r="C145" s="207" t="str">
        <f aca="false">IFERROR(__xludf.dummyfunction("""COMPUTED_VALUE"""),"Políticas de Gestão")</f>
        <v>Políticas de Gestão</v>
      </c>
      <c r="D145" s="207" t="str">
        <f aca="false">IFERROR(__xludf.dummyfunction("""COMPUTED_VALUE"""),"Incentivar e fomentar apresentações de trabalhos, publicações e intercâmbios de docentes no exterior;")</f>
        <v>Incentivar e fomentar apresentações de trabalhos, publicações e intercâmbios de docentes no exterior;</v>
      </c>
      <c r="E145" s="207" t="str">
        <f aca="false">IFERROR(__xludf.dummyfunction("""COMPUTED_VALUE"""),"As políticas de pessoal")</f>
        <v>As políticas de pessoal</v>
      </c>
      <c r="F145" s="200" t="str">
        <f aca="false">IFERROR(__xludf.dummyfunction("""COMPUTED_VALUE"""),"REITORIA / GB / PROGEPE / INSTITUTOS")</f>
        <v>REITORIA / GB / PROGEPE / INSTITUTOS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</row>
    <row r="146" customFormat="false" ht="15" hidden="false" customHeight="false" outlineLevel="0" collapsed="false">
      <c r="A146" s="200" t="str">
        <f aca="false">IFERROR(__xludf.dummyfunction("""COMPUTED_VALUE"""),"4.40")</f>
        <v>4.40</v>
      </c>
      <c r="B146" s="200" t="str">
        <f aca="false">IFERROR(__xludf.dummyfunction("""COMPUTED_VALUE"""),"4")</f>
        <v>4</v>
      </c>
      <c r="C146" s="207" t="str">
        <f aca="false">IFERROR(__xludf.dummyfunction("""COMPUTED_VALUE"""),"Políticas de Gestão")</f>
        <v>Políticas de Gestão</v>
      </c>
      <c r="D146" s="207" t="str">
        <f aca="false">IFERROR(__xludf.dummyfunction("""COMPUTED_VALUE"""),"Promover ações que auxiliem no processo de adaptação de estudantes e docentes internacionais no Brasil;")</f>
        <v>Promover ações que auxiliem no processo de adaptação de estudantes e docentes internacionais no Brasil;</v>
      </c>
      <c r="E146" s="207" t="str">
        <f aca="false">IFERROR(__xludf.dummyfunction("""COMPUTED_VALUE"""),"A organização e gestão da instituição")</f>
        <v>A organização e gestão da instituição</v>
      </c>
      <c r="F146" s="200" t="str">
        <f aca="false">IFERROR(__xludf.dummyfunction("""COMPUTED_VALUE"""),"REITORIA / GB / PROGEPE / PROINT / PRAE")</f>
        <v>REITORIA / GB / PROGEPE / PROINT / PRAE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</row>
    <row r="147" customFormat="false" ht="15" hidden="false" customHeight="false" outlineLevel="0" collapsed="false">
      <c r="A147" s="200" t="str">
        <f aca="false">IFERROR(__xludf.dummyfunction("""COMPUTED_VALUE"""),"4.41")</f>
        <v>4.41</v>
      </c>
      <c r="B147" s="200" t="str">
        <f aca="false">IFERROR(__xludf.dummyfunction("""COMPUTED_VALUE"""),"4")</f>
        <v>4</v>
      </c>
      <c r="C147" s="207" t="str">
        <f aca="false">IFERROR(__xludf.dummyfunction("""COMPUTED_VALUE"""),"Políticas de Gestão")</f>
        <v>Políticas de Gestão</v>
      </c>
      <c r="D147" s="207" t="str">
        <f aca="false">IFERROR(__xludf.dummyfunction("""COMPUTED_VALUE"""),"Fortalecer a presença da EDUNILA em eventos editoriais, em pontos de vendas em outras Universidades e em meios eletrônicos de venda;")</f>
        <v>Fortalecer a presença da EDUNILA em eventos editoriais, em pontos de vendas em outras Universidades e em meios eletrônicos de venda;</v>
      </c>
      <c r="E147" s="207" t="str">
        <f aca="false">IFERROR(__xludf.dummyfunction("""COMPUTED_VALUE"""),"A organização e gestão da instituição")</f>
        <v>A organização e gestão da instituição</v>
      </c>
      <c r="F147" s="200" t="str">
        <f aca="false">IFERROR(__xludf.dummyfunction("""COMPUTED_VALUE"""),"REITORIA / GB / EDUNILA")</f>
        <v>REITORIA / GB / EDUNILA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</row>
    <row r="148" customFormat="false" ht="15" hidden="false" customHeight="false" outlineLevel="0" collapsed="false">
      <c r="A148" s="200" t="str">
        <f aca="false">IFERROR(__xludf.dummyfunction("""COMPUTED_VALUE"""),"4.42")</f>
        <v>4.42</v>
      </c>
      <c r="B148" s="200" t="str">
        <f aca="false">IFERROR(__xludf.dummyfunction("""COMPUTED_VALUE"""),"4")</f>
        <v>4</v>
      </c>
      <c r="C148" s="207" t="str">
        <f aca="false">IFERROR(__xludf.dummyfunction("""COMPUTED_VALUE"""),"Políticas de Gestão")</f>
        <v>Políticas de Gestão</v>
      </c>
      <c r="D148" s="207" t="str">
        <f aca="false">IFERROR(__xludf.dummyfunction("""COMPUTED_VALUE"""),"Autorizar fundações de apoio para dar suporte às atividades de ensino, pesquisa e extensão e prestação de serviço;")</f>
        <v>Autorizar fundações de apoio para dar suporte às atividades de ensino, pesquisa e extensão e prestação de serviço;</v>
      </c>
      <c r="E148" s="207" t="str">
        <f aca="false">IFERROR(__xludf.dummyfunction("""COMPUTED_VALUE"""),"A organização e gestão da instituição")</f>
        <v>A organização e gestão da instituição</v>
      </c>
      <c r="F148" s="200" t="str">
        <f aca="false">IFERROR(__xludf.dummyfunction("""COMPUTED_VALUE"""),"REITORIA / GB")</f>
        <v>REITORIA / GB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</row>
    <row r="149" customFormat="false" ht="15" hidden="false" customHeight="false" outlineLevel="0" collapsed="false">
      <c r="A149" s="200" t="str">
        <f aca="false">IFERROR(__xludf.dummyfunction("""COMPUTED_VALUE"""),"4.43")</f>
        <v>4.43</v>
      </c>
      <c r="B149" s="200" t="str">
        <f aca="false">IFERROR(__xludf.dummyfunction("""COMPUTED_VALUE"""),"4")</f>
        <v>4</v>
      </c>
      <c r="C149" s="207" t="str">
        <f aca="false">IFERROR(__xludf.dummyfunction("""COMPUTED_VALUE"""),"Políticas de Gestão")</f>
        <v>Políticas de Gestão</v>
      </c>
      <c r="D149" s="207" t="str">
        <f aca="false">IFERROR(__xludf.dummyfunction("""COMPUTED_VALUE"""),"Avaliar e aprimorar a gestão dos laboratórios de pesquisa;")</f>
        <v>Avaliar e aprimorar a gestão dos laboratórios de pesquisa;</v>
      </c>
      <c r="E149" s="207" t="str">
        <f aca="false">IFERROR(__xludf.dummyfunction("""COMPUTED_VALUE"""),"A organização e gestão da instituição")</f>
        <v>A organização e gestão da instituição</v>
      </c>
      <c r="F149" s="200" t="str">
        <f aca="false">IFERROR(__xludf.dummyfunction("""COMPUTED_VALUE"""),"SACT")</f>
        <v>SACT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</row>
    <row r="150" customFormat="false" ht="15" hidden="false" customHeight="false" outlineLevel="0" collapsed="false">
      <c r="A150" s="200" t="str">
        <f aca="false">IFERROR(__xludf.dummyfunction("""COMPUTED_VALUE"""),"4.44")</f>
        <v>4.44</v>
      </c>
      <c r="B150" s="200" t="str">
        <f aca="false">IFERROR(__xludf.dummyfunction("""COMPUTED_VALUE"""),"4")</f>
        <v>4</v>
      </c>
      <c r="C150" s="207" t="str">
        <f aca="false">IFERROR(__xludf.dummyfunction("""COMPUTED_VALUE"""),"Políticas de Gestão")</f>
        <v>Políticas de Gestão</v>
      </c>
      <c r="D150" s="207" t="str">
        <f aca="false">IFERROR(__xludf.dummyfunction("""COMPUTED_VALUE"""),"Buscar, junto a diferentes órgãos e agências de fomento, recursos externos para financiamento de projetos e programas;")</f>
        <v>Buscar, junto a diferentes órgãos e agências de fomento, recursos externos para financiamento de projetos e programas;</v>
      </c>
      <c r="E150" s="207" t="str">
        <f aca="false">IFERROR(__xludf.dummyfunction("""COMPUTED_VALUE"""),"A organização e gestão da instituição")</f>
        <v>A organização e gestão da instituição</v>
      </c>
      <c r="F150" s="200" t="str">
        <f aca="false">IFERROR(__xludf.dummyfunction("""COMPUTED_VALUE"""),"REITORIA / GB / PRPPG")</f>
        <v>REITORIA / GB / PRPPG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</row>
    <row r="151" customFormat="false" ht="15" hidden="false" customHeight="false" outlineLevel="0" collapsed="false">
      <c r="A151" s="200" t="str">
        <f aca="false">IFERROR(__xludf.dummyfunction("""COMPUTED_VALUE"""),"4.45")</f>
        <v>4.45</v>
      </c>
      <c r="B151" s="200" t="str">
        <f aca="false">IFERROR(__xludf.dummyfunction("""COMPUTED_VALUE"""),"4")</f>
        <v>4</v>
      </c>
      <c r="C151" s="207" t="str">
        <f aca="false">IFERROR(__xludf.dummyfunction("""COMPUTED_VALUE"""),"Políticas de Gestão")</f>
        <v>Políticas de Gestão</v>
      </c>
      <c r="D151" s="207" t="str">
        <f aca="false">IFERROR(__xludf.dummyfunction("""COMPUTED_VALUE"""),"Estabelecer parcerias com organizações civis e públicas visando qualificar as políticas de gestão de resíduos na UNILA e na Tríplice Fronteira;")</f>
        <v>Estabelecer parcerias com organizações civis e públicas visando qualificar as políticas de gestão de resíduos na UNILA e na Tríplice Fronteira;</v>
      </c>
      <c r="E151" s="207" t="str">
        <f aca="false">IFERROR(__xludf.dummyfunction("""COMPUTED_VALUE"""),"A organização e gestão da instituição")</f>
        <v>A organização e gestão da instituição</v>
      </c>
      <c r="F151" s="200" t="str">
        <f aca="false">IFERROR(__xludf.dummyfunction("""COMPUTED_VALUE"""),"REITORIA / GB")</f>
        <v>REITORIA / GB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</row>
    <row r="152" customFormat="false" ht="15" hidden="false" customHeight="false" outlineLevel="0" collapsed="false">
      <c r="A152" s="200" t="str">
        <f aca="false">IFERROR(__xludf.dummyfunction("""COMPUTED_VALUE"""),"4.46")</f>
        <v>4.46</v>
      </c>
      <c r="B152" s="200" t="str">
        <f aca="false">IFERROR(__xludf.dummyfunction("""COMPUTED_VALUE"""),"4")</f>
        <v>4</v>
      </c>
      <c r="C152" s="207" t="str">
        <f aca="false">IFERROR(__xludf.dummyfunction("""COMPUTED_VALUE"""),"Políticas de Gestão")</f>
        <v>Políticas de Gestão</v>
      </c>
      <c r="D152" s="207" t="str">
        <f aca="false">IFERROR(__xludf.dummyfunction("""COMPUTED_VALUE"""),"Fomentar, para a redução de gastos, a importação direta de equipamentos e insumos;")</f>
        <v>Fomentar, para a redução de gastos, a importação direta de equipamentos e insumos;</v>
      </c>
      <c r="E152" s="207" t="str">
        <f aca="false">IFERROR(__xludf.dummyfunction("""COMPUTED_VALUE"""),"A organização e gestão da instituição")</f>
        <v>A organização e gestão da instituição</v>
      </c>
      <c r="F152" s="200" t="str">
        <f aca="false">IFERROR(__xludf.dummyfunction("""COMPUTED_VALUE"""),"REITORIA / GB / PROAGI")</f>
        <v>REITORIA / GB / PROAGI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</row>
    <row r="153" customFormat="false" ht="15" hidden="false" customHeight="false" outlineLevel="0" collapsed="false">
      <c r="A153" s="200" t="str">
        <f aca="false">IFERROR(__xludf.dummyfunction("""COMPUTED_VALUE"""),"4.47")</f>
        <v>4.47</v>
      </c>
      <c r="B153" s="200" t="str">
        <f aca="false">IFERROR(__xludf.dummyfunction("""COMPUTED_VALUE"""),"4")</f>
        <v>4</v>
      </c>
      <c r="C153" s="207" t="str">
        <f aca="false">IFERROR(__xludf.dummyfunction("""COMPUTED_VALUE"""),"Políticas de Gestão")</f>
        <v>Políticas de Gestão</v>
      </c>
      <c r="D153" s="207" t="str">
        <f aca="false">IFERROR(__xludf.dummyfunction("""COMPUTED_VALUE"""),"Inserir, no plano orçamentário, rubrica específica para aquisição de materiais e equipamentos de pesquisa e de ensino;")</f>
        <v>Inserir, no plano orçamentário, rubrica específica para aquisição de materiais e equipamentos de pesquisa e de ensino;</v>
      </c>
      <c r="E153" s="207" t="str">
        <f aca="false">IFERROR(__xludf.dummyfunction("""COMPUTED_VALUE"""),"A organização e gestão da instituição")</f>
        <v>A organização e gestão da instituição</v>
      </c>
      <c r="F153" s="200" t="str">
        <f aca="false">IFERROR(__xludf.dummyfunction("""COMPUTED_VALUE"""),"REITORIA / GB / SACT")</f>
        <v>REITORIA / GB / SACT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</row>
    <row r="154" customFormat="false" ht="15" hidden="false" customHeight="false" outlineLevel="0" collapsed="false">
      <c r="A154" s="200" t="str">
        <f aca="false">IFERROR(__xludf.dummyfunction("""COMPUTED_VALUE"""),"4.48")</f>
        <v>4.48</v>
      </c>
      <c r="B154" s="200" t="str">
        <f aca="false">IFERROR(__xludf.dummyfunction("""COMPUTED_VALUE"""),"4")</f>
        <v>4</v>
      </c>
      <c r="C154" s="207" t="str">
        <f aca="false">IFERROR(__xludf.dummyfunction("""COMPUTED_VALUE"""),"Políticas de Gestão")</f>
        <v>Políticas de Gestão</v>
      </c>
      <c r="D154" s="207" t="str">
        <f aca="false">IFERROR(__xludf.dummyfunction("""COMPUTED_VALUE"""),"Fomentar programas para a redução de gastos com energia elétrica, água e consumo de materiais;")</f>
        <v>Fomentar programas para a redução de gastos com energia elétrica, água e consumo de materiais;</v>
      </c>
      <c r="E154" s="207" t="str">
        <f aca="false">IFERROR(__xludf.dummyfunction("""COMPUTED_VALUE"""),"A organização e gestão da instituição")</f>
        <v>A organização e gestão da instituição</v>
      </c>
      <c r="F154" s="200" t="str">
        <f aca="false">IFERROR(__xludf.dummyfunction("""COMPUTED_VALUE"""),"PROAGI")</f>
        <v>PROAGI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</row>
    <row r="155" customFormat="false" ht="15" hidden="false" customHeight="false" outlineLevel="0" collapsed="false">
      <c r="A155" s="200" t="str">
        <f aca="false">IFERROR(__xludf.dummyfunction("""COMPUTED_VALUE"""),"4.49")</f>
        <v>4.49</v>
      </c>
      <c r="B155" s="200" t="str">
        <f aca="false">IFERROR(__xludf.dummyfunction("""COMPUTED_VALUE"""),"4")</f>
        <v>4</v>
      </c>
      <c r="C155" s="207" t="str">
        <f aca="false">IFERROR(__xludf.dummyfunction("""COMPUTED_VALUE"""),"Políticas de Gestão")</f>
        <v>Políticas de Gestão</v>
      </c>
      <c r="D155" s="207" t="str">
        <f aca="false">IFERROR(__xludf.dummyfunction("""COMPUTED_VALUE"""),"Aprovar e implementar programa permanente e materiais bilíngues para orientação de estudantes e docentes estrangeiros quanto à regularização migratória e a vida na Tríplice Fronteira;")</f>
        <v>Aprovar e implementar programa permanente e materiais bilíngues para orientação de estudantes e docentes estrangeiros quanto à regularização migratória e a vida na Tríplice Fronteira;</v>
      </c>
      <c r="E155" s="207" t="str">
        <f aca="false">IFERROR(__xludf.dummyfunction("""COMPUTED_VALUE"""),"A organização e gestão da instituição")</f>
        <v>A organização e gestão da instituição</v>
      </c>
      <c r="F155" s="200" t="str">
        <f aca="false">IFERROR(__xludf.dummyfunction("""COMPUTED_VALUE"""),"REITORIA / GB / SECOM")</f>
        <v>REITORIA / GB / SECOM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</row>
    <row r="156" customFormat="false" ht="15" hidden="false" customHeight="false" outlineLevel="0" collapsed="false">
      <c r="A156" s="200" t="str">
        <f aca="false">IFERROR(__xludf.dummyfunction("""COMPUTED_VALUE"""),"4.50")</f>
        <v>4.50</v>
      </c>
      <c r="B156" s="200" t="str">
        <f aca="false">IFERROR(__xludf.dummyfunction("""COMPUTED_VALUE"""),"4")</f>
        <v>4</v>
      </c>
      <c r="C156" s="207" t="str">
        <f aca="false">IFERROR(__xludf.dummyfunction("""COMPUTED_VALUE"""),"Políticas de Gestão")</f>
        <v>Políticas de Gestão</v>
      </c>
      <c r="D156" s="207" t="str">
        <f aca="false">IFERROR(__xludf.dummyfunction("""COMPUTED_VALUE"""),"Planejar e implementar atividades para reconhecimento e valorização das diferentes culturas presentes na UNILA;")</f>
        <v>Planejar e implementar atividades para reconhecimento e valorização das diferentes culturas presentes na UNILA;</v>
      </c>
      <c r="E156" s="207" t="str">
        <f aca="false">IFERROR(__xludf.dummyfunction("""COMPUTED_VALUE"""),"A organização e gestão da instituição")</f>
        <v>A organização e gestão da instituição</v>
      </c>
      <c r="F156" s="200" t="str">
        <f aca="false">IFERROR(__xludf.dummyfunction("""COMPUTED_VALUE"""),"REITORIA / GB / PROGEPE / PRAE")</f>
        <v>REITORIA / GB / PROGEPE / PRAE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</row>
    <row r="157" customFormat="false" ht="15" hidden="false" customHeight="false" outlineLevel="0" collapsed="false">
      <c r="A157" s="200" t="str">
        <f aca="false">IFERROR(__xludf.dummyfunction("""COMPUTED_VALUE"""),"4.51")</f>
        <v>4.51</v>
      </c>
      <c r="B157" s="200" t="str">
        <f aca="false">IFERROR(__xludf.dummyfunction("""COMPUTED_VALUE"""),"4")</f>
        <v>4</v>
      </c>
      <c r="C157" s="207" t="str">
        <f aca="false">IFERROR(__xludf.dummyfunction("""COMPUTED_VALUE"""),"Políticas de Gestão")</f>
        <v>Políticas de Gestão</v>
      </c>
      <c r="D157" s="207" t="str">
        <f aca="false">IFERROR(__xludf.dummyfunction("""COMPUTED_VALUE"""),"Elaborar a política de gestão de pessoas da UNILA;")</f>
        <v>Elaborar a política de gestão de pessoas da UNILA;</v>
      </c>
      <c r="E157" s="207" t="str">
        <f aca="false">IFERROR(__xludf.dummyfunction("""COMPUTED_VALUE"""),"As políticas de pessoal")</f>
        <v>As políticas de pessoal</v>
      </c>
      <c r="F157" s="200" t="str">
        <f aca="false">IFERROR(__xludf.dummyfunction("""COMPUTED_VALUE"""),"PROGEPE")</f>
        <v>PROGEPE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</row>
    <row r="158" customFormat="false" ht="15" hidden="false" customHeight="false" outlineLevel="0" collapsed="false">
      <c r="A158" s="200" t="str">
        <f aca="false">IFERROR(__xludf.dummyfunction("""COMPUTED_VALUE"""),"4.52")</f>
        <v>4.52</v>
      </c>
      <c r="B158" s="200" t="str">
        <f aca="false">IFERROR(__xludf.dummyfunction("""COMPUTED_VALUE"""),"4")</f>
        <v>4</v>
      </c>
      <c r="C158" s="207" t="str">
        <f aca="false">IFERROR(__xludf.dummyfunction("""COMPUTED_VALUE"""),"Políticas de Gestão")</f>
        <v>Políticas de Gestão</v>
      </c>
      <c r="D158" s="207" t="str">
        <f aca="false">IFERROR(__xludf.dummyfunction("""COMPUTED_VALUE"""),"Elaborar, aprovar e implementar o Programa Institucional de Desenvolvimento Profissional – PIDP;")</f>
        <v>Elaborar, aprovar e implementar o Programa Institucional de Desenvolvimento Profissional – PIDP;</v>
      </c>
      <c r="E158" s="207" t="str">
        <f aca="false">IFERROR(__xludf.dummyfunction("""COMPUTED_VALUE"""),"As políticas de pessoal")</f>
        <v>As políticas de pessoal</v>
      </c>
      <c r="F158" s="200" t="str">
        <f aca="false">IFERROR(__xludf.dummyfunction("""COMPUTED_VALUE"""),"PROGEPE")</f>
        <v>PROGEPE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</row>
    <row r="159" customFormat="false" ht="15" hidden="false" customHeight="false" outlineLevel="0" collapsed="false">
      <c r="A159" s="200" t="str">
        <f aca="false">IFERROR(__xludf.dummyfunction("""COMPUTED_VALUE"""),"4.53")</f>
        <v>4.53</v>
      </c>
      <c r="B159" s="200" t="str">
        <f aca="false">IFERROR(__xludf.dummyfunction("""COMPUTED_VALUE"""),"4")</f>
        <v>4</v>
      </c>
      <c r="C159" s="207" t="str">
        <f aca="false">IFERROR(__xludf.dummyfunction("""COMPUTED_VALUE"""),"Políticas de Gestão")</f>
        <v>Políticas de Gestão</v>
      </c>
      <c r="D159" s="207" t="str">
        <f aca="false">IFERROR(__xludf.dummyfunction("""COMPUTED_VALUE"""),"Avaliar e aprimorar o Plano de Desenvolvimento de Pessoal – PDP;")</f>
        <v>Avaliar e aprimorar o Plano de Desenvolvimento de Pessoal – PDP;</v>
      </c>
      <c r="E159" s="207" t="str">
        <f aca="false">IFERROR(__xludf.dummyfunction("""COMPUTED_VALUE"""),"As políticas de pessoal")</f>
        <v>As políticas de pessoal</v>
      </c>
      <c r="F159" s="200" t="str">
        <f aca="false">IFERROR(__xludf.dummyfunction("""COMPUTED_VALUE"""),"PROGEPE")</f>
        <v>PROGEPE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</row>
    <row r="160" customFormat="false" ht="15" hidden="false" customHeight="false" outlineLevel="0" collapsed="false">
      <c r="A160" s="200" t="str">
        <f aca="false">IFERROR(__xludf.dummyfunction("""COMPUTED_VALUE"""),"4.54")</f>
        <v>4.54</v>
      </c>
      <c r="B160" s="200" t="str">
        <f aca="false">IFERROR(__xludf.dummyfunction("""COMPUTED_VALUE"""),"4")</f>
        <v>4</v>
      </c>
      <c r="C160" s="207" t="str">
        <f aca="false">IFERROR(__xludf.dummyfunction("""COMPUTED_VALUE"""),"Políticas de Gestão")</f>
        <v>Políticas de Gestão</v>
      </c>
      <c r="D160" s="207" t="str">
        <f aca="false">IFERROR(__xludf.dummyfunction("""COMPUTED_VALUE"""),"Aprimorar regras e fluxos para as concessões de afastamentos, realocações, cessões e outros procedimentos pertinentes à movimentação de pessoal;")</f>
        <v>Aprimorar regras e fluxos para as concessões de afastamentos, realocações, cessões e outros procedimentos pertinentes à movimentação de pessoal;</v>
      </c>
      <c r="E160" s="207" t="str">
        <f aca="false">IFERROR(__xludf.dummyfunction("""COMPUTED_VALUE"""),"As políticas de pessoal")</f>
        <v>As políticas de pessoal</v>
      </c>
      <c r="F160" s="200" t="str">
        <f aca="false">IFERROR(__xludf.dummyfunction("""COMPUTED_VALUE"""),"PROGEPE")</f>
        <v>PROGEPE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</row>
    <row r="161" customFormat="false" ht="15" hidden="false" customHeight="false" outlineLevel="0" collapsed="false">
      <c r="A161" s="200" t="str">
        <f aca="false">IFERROR(__xludf.dummyfunction("""COMPUTED_VALUE"""),"4.55")</f>
        <v>4.55</v>
      </c>
      <c r="B161" s="200" t="str">
        <f aca="false">IFERROR(__xludf.dummyfunction("""COMPUTED_VALUE"""),"4")</f>
        <v>4</v>
      </c>
      <c r="C161" s="207" t="str">
        <f aca="false">IFERROR(__xludf.dummyfunction("""COMPUTED_VALUE"""),"Políticas de Gestão")</f>
        <v>Políticas de Gestão</v>
      </c>
      <c r="D161" s="207" t="str">
        <f aca="false">IFERROR(__xludf.dummyfunction("""COMPUTED_VALUE"""),"Fomentar o desenvolvimento de cursos de línguas (português e espanhol) para todo servidor, inclusive, via EaD;")</f>
        <v>Fomentar o desenvolvimento de cursos de línguas (português e espanhol) para todo servidor, inclusive, via EaD;</v>
      </c>
      <c r="E161" s="207" t="str">
        <f aca="false">IFERROR(__xludf.dummyfunction("""COMPUTED_VALUE"""),"As políticas de pessoal")</f>
        <v>As políticas de pessoal</v>
      </c>
      <c r="F161" s="200" t="str">
        <f aca="false">IFERROR(__xludf.dummyfunction("""COMPUTED_VALUE"""),"PROGEPE")</f>
        <v>PROGEPE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</row>
    <row r="162" customFormat="false" ht="15" hidden="false" customHeight="false" outlineLevel="0" collapsed="false">
      <c r="A162" s="200" t="str">
        <f aca="false">IFERROR(__xludf.dummyfunction("""COMPUTED_VALUE"""),"4.56")</f>
        <v>4.56</v>
      </c>
      <c r="B162" s="200" t="str">
        <f aca="false">IFERROR(__xludf.dummyfunction("""COMPUTED_VALUE"""),"4")</f>
        <v>4</v>
      </c>
      <c r="C162" s="207" t="str">
        <f aca="false">IFERROR(__xludf.dummyfunction("""COMPUTED_VALUE"""),"Políticas de Gestão")</f>
        <v>Políticas de Gestão</v>
      </c>
      <c r="D162" s="207" t="str">
        <f aca="false">IFERROR(__xludf.dummyfunction("""COMPUTED_VALUE"""),"Planejar e implementar programas de ambientação e acompanhamento para novos servidores;")</f>
        <v>Planejar e implementar programas de ambientação e acompanhamento para novos servidores;</v>
      </c>
      <c r="E162" s="207" t="str">
        <f aca="false">IFERROR(__xludf.dummyfunction("""COMPUTED_VALUE"""),"As políticas de pessoal")</f>
        <v>As políticas de pessoal</v>
      </c>
      <c r="F162" s="200" t="str">
        <f aca="false">IFERROR(__xludf.dummyfunction("""COMPUTED_VALUE"""),"PROGEPE")</f>
        <v>PROGEPE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</row>
    <row r="163" customFormat="false" ht="15" hidden="false" customHeight="false" outlineLevel="0" collapsed="false">
      <c r="A163" s="200" t="str">
        <f aca="false">IFERROR(__xludf.dummyfunction("""COMPUTED_VALUE"""),"4.57")</f>
        <v>4.57</v>
      </c>
      <c r="B163" s="200" t="str">
        <f aca="false">IFERROR(__xludf.dummyfunction("""COMPUTED_VALUE"""),"4")</f>
        <v>4</v>
      </c>
      <c r="C163" s="207" t="str">
        <f aca="false">IFERROR(__xludf.dummyfunction("""COMPUTED_VALUE"""),"Políticas de Gestão")</f>
        <v>Políticas de Gestão</v>
      </c>
      <c r="D163" s="207" t="str">
        <f aca="false">IFERROR(__xludf.dummyfunction("""COMPUTED_VALUE"""),"Fortalecer as políticas de equidade de gênero, inclusive implantando mecanismos que propiciem a medição e a correção de impactos da maternidade ou outros obstáculos relacionados ao gênero sobre a carreira científica;")</f>
        <v>Fortalecer as políticas de equidade de gênero, inclusive implantando mecanismos que propiciem a medição e a correção de impactos da maternidade ou outros obstáculos relacionados ao gênero sobre a carreira científica;</v>
      </c>
      <c r="E163" s="207" t="str">
        <f aca="false">IFERROR(__xludf.dummyfunction("""COMPUTED_VALUE"""),"As políticas de pessoal")</f>
        <v>As políticas de pessoal</v>
      </c>
      <c r="F163" s="200" t="str">
        <f aca="false">IFERROR(__xludf.dummyfunction("""COMPUTED_VALUE"""),"PROGEPE")</f>
        <v>PROGEPE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</row>
    <row r="164" customFormat="false" ht="15" hidden="false" customHeight="false" outlineLevel="0" collapsed="false">
      <c r="A164" s="200" t="str">
        <f aca="false">IFERROR(__xludf.dummyfunction("""COMPUTED_VALUE"""),"4.58")</f>
        <v>4.58</v>
      </c>
      <c r="B164" s="200" t="str">
        <f aca="false">IFERROR(__xludf.dummyfunction("""COMPUTED_VALUE"""),"4")</f>
        <v>4</v>
      </c>
      <c r="C164" s="207" t="str">
        <f aca="false">IFERROR(__xludf.dummyfunction("""COMPUTED_VALUE"""),"Políticas de Gestão")</f>
        <v>Políticas de Gestão</v>
      </c>
      <c r="D164" s="207" t="str">
        <f aca="false">IFERROR(__xludf.dummyfunction("""COMPUTED_VALUE"""),"Instituir programa que prime pela qualidade de vida dos servidores;")</f>
        <v>Instituir programa que prime pela qualidade de vida dos servidores;</v>
      </c>
      <c r="E164" s="207" t="str">
        <f aca="false">IFERROR(__xludf.dummyfunction("""COMPUTED_VALUE"""),"As políticas de pessoal")</f>
        <v>As políticas de pessoal</v>
      </c>
      <c r="F164" s="200" t="str">
        <f aca="false">IFERROR(__xludf.dummyfunction("""COMPUTED_VALUE"""),"PROGEPE")</f>
        <v>PROGEPE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</row>
    <row r="165" customFormat="false" ht="15" hidden="false" customHeight="false" outlineLevel="0" collapsed="false">
      <c r="A165" s="200" t="str">
        <f aca="false">IFERROR(__xludf.dummyfunction("""COMPUTED_VALUE"""),"4.59")</f>
        <v>4.59</v>
      </c>
      <c r="B165" s="200" t="str">
        <f aca="false">IFERROR(__xludf.dummyfunction("""COMPUTED_VALUE"""),"4")</f>
        <v>4</v>
      </c>
      <c r="C165" s="207" t="str">
        <f aca="false">IFERROR(__xludf.dummyfunction("""COMPUTED_VALUE"""),"Políticas de Gestão")</f>
        <v>Políticas de Gestão</v>
      </c>
      <c r="D165" s="207" t="str">
        <f aca="false">IFERROR(__xludf.dummyfunction("""COMPUTED_VALUE"""),"Criar ações para ampliar o número de participantes dos exames médicos periódicos;")</f>
        <v>Criar ações para ampliar o número de participantes dos exames médicos periódicos;</v>
      </c>
      <c r="E165" s="207" t="str">
        <f aca="false">IFERROR(__xludf.dummyfunction("""COMPUTED_VALUE"""),"As políticas de pessoal")</f>
        <v>As políticas de pessoal</v>
      </c>
      <c r="F165" s="200" t="str">
        <f aca="false">IFERROR(__xludf.dummyfunction("""COMPUTED_VALUE"""),"PROGEPE")</f>
        <v>PROGEPE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</row>
    <row r="166" customFormat="false" ht="15" hidden="false" customHeight="false" outlineLevel="0" collapsed="false">
      <c r="A166" s="200" t="str">
        <f aca="false">IFERROR(__xludf.dummyfunction("""COMPUTED_VALUE"""),"4.60")</f>
        <v>4.60</v>
      </c>
      <c r="B166" s="200" t="str">
        <f aca="false">IFERROR(__xludf.dummyfunction("""COMPUTED_VALUE"""),"4")</f>
        <v>4</v>
      </c>
      <c r="C166" s="207" t="str">
        <f aca="false">IFERROR(__xludf.dummyfunction("""COMPUTED_VALUE"""),"Políticas de Gestão")</f>
        <v>Políticas de Gestão</v>
      </c>
      <c r="D166" s="207" t="str">
        <f aca="false">IFERROR(__xludf.dummyfunction("""COMPUTED_VALUE"""),"Implantar a gestão de pessoas por competências, realizando o dimensionamento das necessidades institucionais de pessoal para a adequação das atividades desenvolvidas e garantindo apoio técnico às coordenações de cursos e programas;")</f>
        <v>Implantar a gestão de pessoas por competências, realizando o dimensionamento das necessidades institucionais de pessoal para a adequação das atividades desenvolvidas e garantindo apoio técnico às coordenações de cursos e programas;</v>
      </c>
      <c r="E166" s="207" t="str">
        <f aca="false">IFERROR(__xludf.dummyfunction("""COMPUTED_VALUE"""),"As políticas de pessoal")</f>
        <v>As políticas de pessoal</v>
      </c>
      <c r="F166" s="200" t="str">
        <f aca="false">IFERROR(__xludf.dummyfunction("""COMPUTED_VALUE"""),"PROGEPE")</f>
        <v>PROGEPE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</row>
    <row r="167" customFormat="false" ht="15" hidden="false" customHeight="false" outlineLevel="0" collapsed="false">
      <c r="A167" s="200" t="str">
        <f aca="false">IFERROR(__xludf.dummyfunction("""COMPUTED_VALUE"""),"4.61")</f>
        <v>4.61</v>
      </c>
      <c r="B167" s="200" t="str">
        <f aca="false">IFERROR(__xludf.dummyfunction("""COMPUTED_VALUE"""),"4")</f>
        <v>4</v>
      </c>
      <c r="C167" s="207" t="str">
        <f aca="false">IFERROR(__xludf.dummyfunction("""COMPUTED_VALUE"""),"Políticas de Gestão")</f>
        <v>Políticas de Gestão</v>
      </c>
      <c r="D167" s="207" t="str">
        <f aca="false">IFERROR(__xludf.dummyfunction("""COMPUTED_VALUE"""),"Manter negociação com o MEC para ampliar o quadro de docentes por meio da liberação de códigos de vagas;")</f>
        <v>Manter negociação com o MEC para ampliar o quadro de docentes por meio da liberação de códigos de vagas;</v>
      </c>
      <c r="E167" s="207" t="str">
        <f aca="false">IFERROR(__xludf.dummyfunction("""COMPUTED_VALUE"""),"As políticas de pessoal")</f>
        <v>As políticas de pessoal</v>
      </c>
      <c r="F167" s="200" t="str">
        <f aca="false">IFERROR(__xludf.dummyfunction("""COMPUTED_VALUE"""),"REITORIA / GB")</f>
        <v>REITORIA / GB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</row>
    <row r="168" customFormat="false" ht="15" hidden="false" customHeight="false" outlineLevel="0" collapsed="false">
      <c r="A168" s="200" t="str">
        <f aca="false">IFERROR(__xludf.dummyfunction("""COMPUTED_VALUE"""),"4.62")</f>
        <v>4.62</v>
      </c>
      <c r="B168" s="200" t="str">
        <f aca="false">IFERROR(__xludf.dummyfunction("""COMPUTED_VALUE"""),"4")</f>
        <v>4</v>
      </c>
      <c r="C168" s="207" t="str">
        <f aca="false">IFERROR(__xludf.dummyfunction("""COMPUTED_VALUE"""),"Políticas de Gestão")</f>
        <v>Políticas de Gestão</v>
      </c>
      <c r="D168" s="207" t="str">
        <f aca="false">IFERROR(__xludf.dummyfunction("""COMPUTED_VALUE"""),"Aprovar e implementar programa de saúde e bem-estar do trabalhador;")</f>
        <v>Aprovar e implementar programa de saúde e bem-estar do trabalhador;</v>
      </c>
      <c r="E168" s="207" t="str">
        <f aca="false">IFERROR(__xludf.dummyfunction("""COMPUTED_VALUE"""),"As políticas de pessoal")</f>
        <v>As políticas de pessoal</v>
      </c>
      <c r="F168" s="200" t="str">
        <f aca="false">IFERROR(__xludf.dummyfunction("""COMPUTED_VALUE"""),"PROGEPE")</f>
        <v>PROGEPE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</row>
    <row r="169" customFormat="false" ht="15" hidden="false" customHeight="false" outlineLevel="0" collapsed="false">
      <c r="A169" s="200" t="str">
        <f aca="false">IFERROR(__xludf.dummyfunction("""COMPUTED_VALUE"""),"4.63")</f>
        <v>4.63</v>
      </c>
      <c r="B169" s="200" t="str">
        <f aca="false">IFERROR(__xludf.dummyfunction("""COMPUTED_VALUE"""),"4")</f>
        <v>4</v>
      </c>
      <c r="C169" s="207" t="str">
        <f aca="false">IFERROR(__xludf.dummyfunction("""COMPUTED_VALUE"""),"Políticas de Gestão")</f>
        <v>Políticas de Gestão</v>
      </c>
      <c r="D169" s="207" t="str">
        <f aca="false">IFERROR(__xludf.dummyfunction("""COMPUTED_VALUE"""),"Aprovar e implementar programa com contínuo para disseminação de orientações sobre reconhecimento e formas de denúncia de práticas nocivas ao bem-estar institucional e à saúde dos trabalhadores;")</f>
        <v>Aprovar e implementar programa com contínuo para disseminação de orientações sobre reconhecimento e formas de denúncia de práticas nocivas ao bem-estar institucional e à saúde dos trabalhadores;</v>
      </c>
      <c r="E169" s="207" t="str">
        <f aca="false">IFERROR(__xludf.dummyfunction("""COMPUTED_VALUE"""),"As políticas de pessoal")</f>
        <v>As políticas de pessoal</v>
      </c>
      <c r="F169" s="200" t="str">
        <f aca="false">IFERROR(__xludf.dummyfunction("""COMPUTED_VALUE"""),"PROGEPE")</f>
        <v>PROGEPE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</row>
    <row r="170" customFormat="false" ht="15" hidden="false" customHeight="false" outlineLevel="0" collapsed="false">
      <c r="A170" s="200" t="str">
        <f aca="false">IFERROR(__xludf.dummyfunction("""COMPUTED_VALUE"""),"4.64")</f>
        <v>4.64</v>
      </c>
      <c r="B170" s="200" t="str">
        <f aca="false">IFERROR(__xludf.dummyfunction("""COMPUTED_VALUE"""),"4")</f>
        <v>4</v>
      </c>
      <c r="C170" s="207" t="str">
        <f aca="false">IFERROR(__xludf.dummyfunction("""COMPUTED_VALUE"""),"Políticas de Gestão")</f>
        <v>Políticas de Gestão</v>
      </c>
      <c r="D170" s="207" t="str">
        <f aca="false">IFERROR(__xludf.dummyfunction("""COMPUTED_VALUE"""),"Aprovar e implantar programa de fluxo contínuo para a capacitação de chefias, com vistas à profissionalização da gestão;")</f>
        <v>Aprovar e implantar programa de fluxo contínuo para a capacitação de chefias, com vistas à profissionalização da gestão;</v>
      </c>
      <c r="E170" s="207" t="str">
        <f aca="false">IFERROR(__xludf.dummyfunction("""COMPUTED_VALUE"""),"As políticas de pessoal")</f>
        <v>As políticas de pessoal</v>
      </c>
      <c r="F170" s="200" t="str">
        <f aca="false">IFERROR(__xludf.dummyfunction("""COMPUTED_VALUE"""),"PROGEPE")</f>
        <v>PROGEPE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</row>
    <row r="171" customFormat="false" ht="15" hidden="false" customHeight="false" outlineLevel="0" collapsed="false">
      <c r="A171" s="200" t="str">
        <f aca="false">IFERROR(__xludf.dummyfunction("""COMPUTED_VALUE"""),"4.65")</f>
        <v>4.65</v>
      </c>
      <c r="B171" s="200" t="str">
        <f aca="false">IFERROR(__xludf.dummyfunction("""COMPUTED_VALUE"""),"4")</f>
        <v>4</v>
      </c>
      <c r="C171" s="207" t="str">
        <f aca="false">IFERROR(__xludf.dummyfunction("""COMPUTED_VALUE"""),"Políticas de Gestão")</f>
        <v>Políticas de Gestão</v>
      </c>
      <c r="D171" s="207" t="str">
        <f aca="false">IFERROR(__xludf.dummyfunction("""COMPUTED_VALUE"""),"Estimular e fomentar ações e projetos relacionados aos esportes, à cultura, à boa alimentação e ao lazer cujo público-alvo sejam servidores da UNILA;")</f>
        <v>Estimular e fomentar ações e projetos relacionados aos esportes, à cultura, à boa alimentação e ao lazer cujo público-alvo sejam servidores da UNILA;</v>
      </c>
      <c r="E171" s="207" t="str">
        <f aca="false">IFERROR(__xludf.dummyfunction("""COMPUTED_VALUE"""),"As políticas de pessoal")</f>
        <v>As políticas de pessoal</v>
      </c>
      <c r="F171" s="200" t="str">
        <f aca="false">IFERROR(__xludf.dummyfunction("""COMPUTED_VALUE"""),"PROGEPE")</f>
        <v>PROGEPE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</row>
    <row r="172" customFormat="false" ht="15" hidden="false" customHeight="false" outlineLevel="0" collapsed="false">
      <c r="A172" s="200" t="str">
        <f aca="false">IFERROR(__xludf.dummyfunction("""COMPUTED_VALUE"""),"4.66")</f>
        <v>4.66</v>
      </c>
      <c r="B172" s="200" t="str">
        <f aca="false">IFERROR(__xludf.dummyfunction("""COMPUTED_VALUE"""),"4")</f>
        <v>4</v>
      </c>
      <c r="C172" s="207" t="str">
        <f aca="false">IFERROR(__xludf.dummyfunction("""COMPUTED_VALUE"""),"Políticas de Gestão")</f>
        <v>Políticas de Gestão</v>
      </c>
      <c r="D172" s="207" t="str">
        <f aca="false">IFERROR(__xludf.dummyfunction("""COMPUTED_VALUE"""),"Rever o regulamento aprovado pelo Conselho Universitário acerca da flexibilização de jornadas de trabalho para servidores, adequando-o às recomendações da Controladoria Geral da União e às normativas federais mais recentes;")</f>
        <v>Rever o regulamento aprovado pelo Conselho Universitário acerca da flexibilização de jornadas de trabalho para servidores, adequando-o às recomendações da Controladoria Geral da União e às normativas federais mais recentes;</v>
      </c>
      <c r="E172" s="207" t="str">
        <f aca="false">IFERROR(__xludf.dummyfunction("""COMPUTED_VALUE"""),"As políticas de pessoal")</f>
        <v>As políticas de pessoal</v>
      </c>
      <c r="F172" s="200" t="str">
        <f aca="false">IFERROR(__xludf.dummyfunction("""COMPUTED_VALUE"""),"REITORIA / GB / PROGEPE")</f>
        <v>REITORIA / GB / PROGEPE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</row>
    <row r="173" customFormat="false" ht="15" hidden="false" customHeight="false" outlineLevel="0" collapsed="false">
      <c r="A173" s="200" t="str">
        <f aca="false">IFERROR(__xludf.dummyfunction("""COMPUTED_VALUE"""),"4.67")</f>
        <v>4.67</v>
      </c>
      <c r="B173" s="200" t="str">
        <f aca="false">IFERROR(__xludf.dummyfunction("""COMPUTED_VALUE"""),"4")</f>
        <v>4</v>
      </c>
      <c r="C173" s="207" t="str">
        <f aca="false">IFERROR(__xludf.dummyfunction("""COMPUTED_VALUE"""),"Políticas de Gestão")</f>
        <v>Políticas de Gestão</v>
      </c>
      <c r="D173" s="207" t="str">
        <f aca="false">IFERROR(__xludf.dummyfunction("""COMPUTED_VALUE"""),"Elaborar planejamento estratégico de médio / longo prazo para os afastamentos para capacitações e assessorar todas as unidades em confecção de seus planejamentos internos;")</f>
        <v>Elaborar planejamento estratégico de médio / longo prazo para os afastamentos para capacitações e assessorar todas as unidades em confecção de seus planejamentos internos;</v>
      </c>
      <c r="E173" s="207" t="str">
        <f aca="false">IFERROR(__xludf.dummyfunction("""COMPUTED_VALUE"""),"As políticas de pessoal")</f>
        <v>As políticas de pessoal</v>
      </c>
      <c r="F173" s="200" t="str">
        <f aca="false">IFERROR(__xludf.dummyfunction("""COMPUTED_VALUE"""),"PROGEPE")</f>
        <v>PROGEPE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</row>
    <row r="174" customFormat="false" ht="15" hidden="false" customHeight="false" outlineLevel="0" collapsed="false">
      <c r="A174" s="200" t="str">
        <f aca="false">IFERROR(__xludf.dummyfunction("""COMPUTED_VALUE"""),"4.68")</f>
        <v>4.68</v>
      </c>
      <c r="B174" s="200" t="str">
        <f aca="false">IFERROR(__xludf.dummyfunction("""COMPUTED_VALUE"""),"4")</f>
        <v>4</v>
      </c>
      <c r="C174" s="207" t="str">
        <f aca="false">IFERROR(__xludf.dummyfunction("""COMPUTED_VALUE"""),"Políticas de Gestão")</f>
        <v>Políticas de Gestão</v>
      </c>
      <c r="D174" s="207" t="str">
        <f aca="false">IFERROR(__xludf.dummyfunction("""COMPUTED_VALUE"""),"Aprovar e implementar programa de apoio à participação de servidores em cursos de pós-graduação;")</f>
        <v>Aprovar e implementar programa de apoio à participação de servidores em cursos de pós-graduação;</v>
      </c>
      <c r="E174" s="207" t="str">
        <f aca="false">IFERROR(__xludf.dummyfunction("""COMPUTED_VALUE"""),"As políticas de pessoal")</f>
        <v>As políticas de pessoal</v>
      </c>
      <c r="F174" s="200" t="str">
        <f aca="false">IFERROR(__xludf.dummyfunction("""COMPUTED_VALUE"""),"PROGEPE")</f>
        <v>PROGEPE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</row>
    <row r="175" customFormat="false" ht="15" hidden="false" customHeight="false" outlineLevel="0" collapsed="false">
      <c r="A175" s="200" t="str">
        <f aca="false">IFERROR(__xludf.dummyfunction("""COMPUTED_VALUE"""),"4.69")</f>
        <v>4.69</v>
      </c>
      <c r="B175" s="200" t="str">
        <f aca="false">IFERROR(__xludf.dummyfunction("""COMPUTED_VALUE"""),"4")</f>
        <v>4</v>
      </c>
      <c r="C175" s="207" t="str">
        <f aca="false">IFERROR(__xludf.dummyfunction("""COMPUTED_VALUE"""),"Políticas de Gestão")</f>
        <v>Políticas de Gestão</v>
      </c>
      <c r="D175" s="207" t="str">
        <f aca="false">IFERROR(__xludf.dummyfunction("""COMPUTED_VALUE"""),"Elaborar planejamento que equalize as oportunidades de qualificação para os servidores de toda a instituição;")</f>
        <v>Elaborar planejamento que equalize as oportunidades de qualificação para os servidores de toda a instituição;</v>
      </c>
      <c r="E175" s="207" t="str">
        <f aca="false">IFERROR(__xludf.dummyfunction("""COMPUTED_VALUE"""),"As políticas de pessoal")</f>
        <v>As políticas de pessoal</v>
      </c>
      <c r="F175" s="200" t="str">
        <f aca="false">IFERROR(__xludf.dummyfunction("""COMPUTED_VALUE"""),"PROGEPE")</f>
        <v>PROGEPE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</row>
    <row r="176" customFormat="false" ht="15" hidden="false" customHeight="false" outlineLevel="0" collapsed="false">
      <c r="A176" s="200" t="str">
        <f aca="false">IFERROR(__xludf.dummyfunction("""COMPUTED_VALUE"""),"4.70")</f>
        <v>4.70</v>
      </c>
      <c r="B176" s="200" t="str">
        <f aca="false">IFERROR(__xludf.dummyfunction("""COMPUTED_VALUE"""),"4")</f>
        <v>4</v>
      </c>
      <c r="C176" s="207" t="str">
        <f aca="false">IFERROR(__xludf.dummyfunction("""COMPUTED_VALUE"""),"Políticas de Gestão")</f>
        <v>Políticas de Gestão</v>
      </c>
      <c r="D176" s="207" t="str">
        <f aca="false">IFERROR(__xludf.dummyfunction("""COMPUTED_VALUE"""),"Otimizar regras, fluxos e registros para a concessão de progressões funcionais;")</f>
        <v>Otimizar regras, fluxos e registros para a concessão de progressões funcionais;</v>
      </c>
      <c r="E176" s="207" t="str">
        <f aca="false">IFERROR(__xludf.dummyfunction("""COMPUTED_VALUE"""),"As políticas de pessoal")</f>
        <v>As políticas de pessoal</v>
      </c>
      <c r="F176" s="200" t="str">
        <f aca="false">IFERROR(__xludf.dummyfunction("""COMPUTED_VALUE"""),"PROGEPE")</f>
        <v>PROGEPE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</row>
    <row r="177" customFormat="false" ht="15" hidden="false" customHeight="false" outlineLevel="0" collapsed="false">
      <c r="A177" s="200" t="str">
        <f aca="false">IFERROR(__xludf.dummyfunction("""COMPUTED_VALUE"""),"4.71")</f>
        <v>4.71</v>
      </c>
      <c r="B177" s="200" t="str">
        <f aca="false">IFERROR(__xludf.dummyfunction("""COMPUTED_VALUE"""),"4")</f>
        <v>4</v>
      </c>
      <c r="C177" s="207" t="str">
        <f aca="false">IFERROR(__xludf.dummyfunction("""COMPUTED_VALUE"""),"Políticas de Gestão")</f>
        <v>Políticas de Gestão</v>
      </c>
      <c r="D177" s="207" t="str">
        <f aca="false">IFERROR(__xludf.dummyfunction("""COMPUTED_VALUE"""),"Criar incentivos de progressão a docentes que desenvolvam atividades de gestão realizadas por encargo;")</f>
        <v>Criar incentivos de progressão a docentes que desenvolvam atividades de gestão realizadas por encargo;</v>
      </c>
      <c r="E177" s="207" t="str">
        <f aca="false">IFERROR(__xludf.dummyfunction("""COMPUTED_VALUE"""),"As políticas de pessoal")</f>
        <v>As políticas de pessoal</v>
      </c>
      <c r="F177" s="200" t="str">
        <f aca="false">IFERROR(__xludf.dummyfunction("""COMPUTED_VALUE"""),"PROGEPE")</f>
        <v>PROGEPE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</row>
    <row r="178" customFormat="false" ht="15" hidden="false" customHeight="false" outlineLevel="0" collapsed="false">
      <c r="A178" s="200" t="str">
        <f aca="false">IFERROR(__xludf.dummyfunction("""COMPUTED_VALUE"""),"4.72")</f>
        <v>4.72</v>
      </c>
      <c r="B178" s="200" t="str">
        <f aca="false">IFERROR(__xludf.dummyfunction("""COMPUTED_VALUE"""),"4")</f>
        <v>4</v>
      </c>
      <c r="C178" s="207" t="str">
        <f aca="false">IFERROR(__xludf.dummyfunction("""COMPUTED_VALUE"""),"Políticas de Gestão")</f>
        <v>Políticas de Gestão</v>
      </c>
      <c r="D178" s="207" t="str">
        <f aca="false">IFERROR(__xludf.dummyfunction("""COMPUTED_VALUE"""),"Estabelecer, em conjunto com as unidades acadêmicas, parâmetros sistêmicos racionais e equânimes para a distribuição de vagas docentes;")</f>
        <v>Estabelecer, em conjunto com as unidades acadêmicas, parâmetros sistêmicos racionais e equânimes para a distribuição de vagas docentes;</v>
      </c>
      <c r="E178" s="207" t="str">
        <f aca="false">IFERROR(__xludf.dummyfunction("""COMPUTED_VALUE"""),"As políticas de pessoal")</f>
        <v>As políticas de pessoal</v>
      </c>
      <c r="F178" s="200" t="str">
        <f aca="false">IFERROR(__xludf.dummyfunction("""COMPUTED_VALUE"""),"REITORIA / GB / PROGEPE")</f>
        <v>REITORIA / GB / PROGEPE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</row>
    <row r="179" customFormat="false" ht="15" hidden="false" customHeight="false" outlineLevel="0" collapsed="false">
      <c r="A179" s="200" t="str">
        <f aca="false">IFERROR(__xludf.dummyfunction("""COMPUTED_VALUE"""),"4.73")</f>
        <v>4.73</v>
      </c>
      <c r="B179" s="200" t="str">
        <f aca="false">IFERROR(__xludf.dummyfunction("""COMPUTED_VALUE"""),"4")</f>
        <v>4</v>
      </c>
      <c r="C179" s="207" t="str">
        <f aca="false">IFERROR(__xludf.dummyfunction("""COMPUTED_VALUE"""),"Políticas de Gestão")</f>
        <v>Políticas de Gestão</v>
      </c>
      <c r="D179" s="207" t="str">
        <f aca="false">IFERROR(__xludf.dummyfunction("""COMPUTED_VALUE"""),"Firmar parcerias para a criação de programas em rede priorizando qualificação dos servidores da UNILA, inclusive em EaD;")</f>
        <v>Firmar parcerias para a criação de programas em rede priorizando qualificação dos servidores da UNILA, inclusive em EaD;</v>
      </c>
      <c r="E179" s="207" t="str">
        <f aca="false">IFERROR(__xludf.dummyfunction("""COMPUTED_VALUE"""),"As políticas de pessoal")</f>
        <v>As políticas de pessoal</v>
      </c>
      <c r="F179" s="200" t="str">
        <f aca="false">IFERROR(__xludf.dummyfunction("""COMPUTED_VALUE"""),"PROGEPE")</f>
        <v>PROGEPE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</row>
    <row r="180" customFormat="false" ht="15" hidden="false" customHeight="false" outlineLevel="0" collapsed="false">
      <c r="A180" s="200" t="str">
        <f aca="false">IFERROR(__xludf.dummyfunction("""COMPUTED_VALUE"""),"4.74")</f>
        <v>4.74</v>
      </c>
      <c r="B180" s="200" t="str">
        <f aca="false">IFERROR(__xludf.dummyfunction("""COMPUTED_VALUE"""),"4")</f>
        <v>4</v>
      </c>
      <c r="C180" s="207" t="str">
        <f aca="false">IFERROR(__xludf.dummyfunction("""COMPUTED_VALUE"""),"Políticas de Gestão")</f>
        <v>Políticas de Gestão</v>
      </c>
      <c r="D180" s="207" t="str">
        <f aca="false">IFERROR(__xludf.dummyfunction("""COMPUTED_VALUE"""),"Realizar campanhas de valorização da ética no trabalho com o objetivo de melhorar o ambiente de trabalho e minimizar o número de processos disciplinares;")</f>
        <v>Realizar campanhas de valorização da ética no trabalho com o objetivo de melhorar o ambiente de trabalho e minimizar o número de processos disciplinares;</v>
      </c>
      <c r="E180" s="207" t="str">
        <f aca="false">IFERROR(__xludf.dummyfunction("""COMPUTED_VALUE"""),"As políticas de pessoal")</f>
        <v>As políticas de pessoal</v>
      </c>
      <c r="F180" s="200" t="str">
        <f aca="false">IFERROR(__xludf.dummyfunction("""COMPUTED_VALUE"""),"PROGEPE")</f>
        <v>PROGEPE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</row>
    <row r="181" customFormat="false" ht="15" hidden="false" customHeight="false" outlineLevel="0" collapsed="false">
      <c r="A181" s="200" t="str">
        <f aca="false">IFERROR(__xludf.dummyfunction("""COMPUTED_VALUE"""),"4.75")</f>
        <v>4.75</v>
      </c>
      <c r="B181" s="200" t="str">
        <f aca="false">IFERROR(__xludf.dummyfunction("""COMPUTED_VALUE"""),"4")</f>
        <v>4</v>
      </c>
      <c r="C181" s="207" t="str">
        <f aca="false">IFERROR(__xludf.dummyfunction("""COMPUTED_VALUE"""),"Políticas de Gestão")</f>
        <v>Políticas de Gestão</v>
      </c>
      <c r="D181" s="207" t="str">
        <f aca="false">IFERROR(__xludf.dummyfunction("""COMPUTED_VALUE"""),"Aprimorar o sistema de controle eletrônico de frequência de servidores;")</f>
        <v>Aprimorar o sistema de controle eletrônico de frequência de servidores;</v>
      </c>
      <c r="E181" s="207" t="str">
        <f aca="false">IFERROR(__xludf.dummyfunction("""COMPUTED_VALUE"""),"As políticas de pessoal")</f>
        <v>As políticas de pessoal</v>
      </c>
      <c r="F181" s="200" t="str">
        <f aca="false">IFERROR(__xludf.dummyfunction("""COMPUTED_VALUE"""),"PROGEPE")</f>
        <v>PROGEPE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</row>
    <row r="182" customFormat="false" ht="15" hidden="false" customHeight="false" outlineLevel="0" collapsed="false">
      <c r="A182" s="200" t="str">
        <f aca="false">IFERROR(__xludf.dummyfunction("""COMPUTED_VALUE"""),"4.76")</f>
        <v>4.76</v>
      </c>
      <c r="B182" s="200" t="str">
        <f aca="false">IFERROR(__xludf.dummyfunction("""COMPUTED_VALUE"""),"4")</f>
        <v>4</v>
      </c>
      <c r="C182" s="207" t="str">
        <f aca="false">IFERROR(__xludf.dummyfunction("""COMPUTED_VALUE"""),"Políticas de Gestão")</f>
        <v>Políticas de Gestão</v>
      </c>
      <c r="D182" s="207" t="str">
        <f aca="false">IFERROR(__xludf.dummyfunction("""COMPUTED_VALUE"""),"Manter o programa Universidade Restaurativa na Universidade.")</f>
        <v>Manter o programa Universidade Restaurativa na Universidade.</v>
      </c>
      <c r="E182" s="207" t="str">
        <f aca="false">IFERROR(__xludf.dummyfunction("""COMPUTED_VALUE"""),"As políticas de pessoal")</f>
        <v>As políticas de pessoal</v>
      </c>
      <c r="F182" s="200" t="str">
        <f aca="false">IFERROR(__xludf.dummyfunction("""COMPUTED_VALUE"""),"REITORIA / GB / PROGEPE")</f>
        <v>REITORIA / GB / PROGEPE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</row>
    <row r="183" customFormat="false" ht="15" hidden="false" customHeight="false" outlineLevel="0" collapsed="false">
      <c r="A183" s="200" t="str">
        <f aca="false">IFERROR(__xludf.dummyfunction("""COMPUTED_VALUE"""),"5.1")</f>
        <v>5.1</v>
      </c>
      <c r="B183" s="200" t="str">
        <f aca="false">IFERROR(__xludf.dummyfunction("""COMPUTED_VALUE"""),"5")</f>
        <v>5</v>
      </c>
      <c r="C183" s="207" t="str">
        <f aca="false">IFERROR(__xludf.dummyfunction("""COMPUTED_VALUE"""),"Infraestrutura")</f>
        <v>Infraestrutura</v>
      </c>
      <c r="D183" s="207" t="str">
        <f aca="false">IFERROR(__xludf.dummyfunction("""COMPUTED_VALUE"""),"Buscar junto ao Governo Federal e à Itaipu Binacional alternativas e soluções para o campus projetado pelo arquiteto Oscar Niemeyer;")</f>
        <v>Buscar junto ao Governo Federal e à Itaipu Binacional alternativas e soluções para o campus projetado pelo arquiteto Oscar Niemeyer;</v>
      </c>
      <c r="E183" s="207" t="str">
        <f aca="false">IFERROR(__xludf.dummyfunction("""COMPUTED_VALUE"""),"A infraestrutura física")</f>
        <v>A infraestrutura física</v>
      </c>
      <c r="F183" s="200" t="str">
        <f aca="false">IFERROR(__xludf.dummyfunction("""COMPUTED_VALUE"""),"REITORIA / GB")</f>
        <v>REITORIA / GB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</row>
    <row r="184" customFormat="false" ht="15" hidden="false" customHeight="false" outlineLevel="0" collapsed="false">
      <c r="A184" s="200" t="str">
        <f aca="false">IFERROR(__xludf.dummyfunction("""COMPUTED_VALUE"""),"5.2")</f>
        <v>5.2</v>
      </c>
      <c r="B184" s="200" t="str">
        <f aca="false">IFERROR(__xludf.dummyfunction("""COMPUTED_VALUE"""),"5")</f>
        <v>5</v>
      </c>
      <c r="C184" s="207" t="str">
        <f aca="false">IFERROR(__xludf.dummyfunction("""COMPUTED_VALUE"""),"Infraestrutura")</f>
        <v>Infraestrutura</v>
      </c>
      <c r="D184" s="207" t="str">
        <f aca="false">IFERROR(__xludf.dummyfunction("""COMPUTED_VALUE"""),"Pactuar com o MEC a concessão de recursos para a construção de infraestrutura da sede própria;")</f>
        <v>Pactuar com o MEC a concessão de recursos para a construção de infraestrutura da sede própria;</v>
      </c>
      <c r="E184" s="207" t="str">
        <f aca="false">IFERROR(__xludf.dummyfunction("""COMPUTED_VALUE"""),"A infraestrutura física")</f>
        <v>A infraestrutura física</v>
      </c>
      <c r="F184" s="200" t="str">
        <f aca="false">IFERROR(__xludf.dummyfunction("""COMPUTED_VALUE"""),"REITORIA / GB")</f>
        <v>REITORIA / GB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</row>
    <row r="185" customFormat="false" ht="15" hidden="false" customHeight="false" outlineLevel="0" collapsed="false">
      <c r="A185" s="200" t="str">
        <f aca="false">IFERROR(__xludf.dummyfunction("""COMPUTED_VALUE"""),"5.3")</f>
        <v>5.3</v>
      </c>
      <c r="B185" s="200" t="str">
        <f aca="false">IFERROR(__xludf.dummyfunction("""COMPUTED_VALUE"""),"5")</f>
        <v>5</v>
      </c>
      <c r="C185" s="207" t="str">
        <f aca="false">IFERROR(__xludf.dummyfunction("""COMPUTED_VALUE"""),"Infraestrutura")</f>
        <v>Infraestrutura</v>
      </c>
      <c r="D185" s="207" t="str">
        <f aca="false">IFERROR(__xludf.dummyfunction("""COMPUTED_VALUE"""),"Realizar parcerias público-privada para estabelecimento de contratos de cessão de uso de espaços pela UNILA, bem como para obtenção de recursos para a construção de infraestrutura da sede própria da Universidade;")</f>
        <v>Realizar parcerias público-privada para estabelecimento de contratos de cessão de uso de espaços pela UNILA, bem como para obtenção de recursos para a construção de infraestrutura da sede própria da Universidade;</v>
      </c>
      <c r="E185" s="207" t="str">
        <f aca="false">IFERROR(__xludf.dummyfunction("""COMPUTED_VALUE"""),"A infraestrutura física")</f>
        <v>A infraestrutura física</v>
      </c>
      <c r="F185" s="200" t="str">
        <f aca="false">IFERROR(__xludf.dummyfunction("""COMPUTED_VALUE"""),"REITORIA / GB")</f>
        <v>REITORIA / GB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</row>
    <row r="186" customFormat="false" ht="15" hidden="false" customHeight="false" outlineLevel="0" collapsed="false">
      <c r="A186" s="200" t="str">
        <f aca="false">IFERROR(__xludf.dummyfunction("""COMPUTED_VALUE"""),"5.4")</f>
        <v>5.4</v>
      </c>
      <c r="B186" s="200" t="str">
        <f aca="false">IFERROR(__xludf.dummyfunction("""COMPUTED_VALUE"""),"5")</f>
        <v>5</v>
      </c>
      <c r="C186" s="207" t="str">
        <f aca="false">IFERROR(__xludf.dummyfunction("""COMPUTED_VALUE"""),"Infraestrutura")</f>
        <v>Infraestrutura</v>
      </c>
      <c r="D186" s="207" t="str">
        <f aca="false">IFERROR(__xludf.dummyfunction("""COMPUTED_VALUE"""),"Garantir a continuidade, a finalização das obras do alojamento estudantil;")</f>
        <v>Garantir a continuidade, a finalização das obras do alojamento estudantil;</v>
      </c>
      <c r="E186" s="207" t="str">
        <f aca="false">IFERROR(__xludf.dummyfunction("""COMPUTED_VALUE"""),"A infraestrutura física")</f>
        <v>A infraestrutura física</v>
      </c>
      <c r="F186" s="200" t="str">
        <f aca="false">IFERROR(__xludf.dummyfunction("""COMPUTED_VALUE"""),"REITORIA / GB")</f>
        <v>REITORIA / GB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</row>
    <row r="187" customFormat="false" ht="15" hidden="false" customHeight="false" outlineLevel="0" collapsed="false">
      <c r="A187" s="200" t="str">
        <f aca="false">IFERROR(__xludf.dummyfunction("""COMPUTED_VALUE"""),"5.5")</f>
        <v>5.5</v>
      </c>
      <c r="B187" s="200" t="str">
        <f aca="false">IFERROR(__xludf.dummyfunction("""COMPUTED_VALUE"""),"5")</f>
        <v>5</v>
      </c>
      <c r="C187" s="207" t="str">
        <f aca="false">IFERROR(__xludf.dummyfunction("""COMPUTED_VALUE"""),"Infraestrutura")</f>
        <v>Infraestrutura</v>
      </c>
      <c r="D187" s="207" t="str">
        <f aca="false">IFERROR(__xludf.dummyfunction("""COMPUTED_VALUE"""),"Elaborar e implementar plano de obras, com priorização de salas de aulas e laboratórios, em terreno de propriedade definitiva da UNILA, localizado na Avenida Tancredo Neves;")</f>
        <v>Elaborar e implementar plano de obras, com priorização de salas de aulas e laboratórios, em terreno de propriedade definitiva da UNILA, localizado na Avenida Tancredo Neves;</v>
      </c>
      <c r="E187" s="207" t="str">
        <f aca="false">IFERROR(__xludf.dummyfunction("""COMPUTED_VALUE"""),"A infraestrutura física")</f>
        <v>A infraestrutura física</v>
      </c>
      <c r="F187" s="200" t="str">
        <f aca="false">IFERROR(__xludf.dummyfunction("""COMPUTED_VALUE"""),"REITORIA / GB / SECIC")</f>
        <v>REITORIA / GB / SECIC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</row>
    <row r="188" customFormat="false" ht="15" hidden="false" customHeight="false" outlineLevel="0" collapsed="false">
      <c r="A188" s="200" t="str">
        <f aca="false">IFERROR(__xludf.dummyfunction("""COMPUTED_VALUE"""),"5.6")</f>
        <v>5.6</v>
      </c>
      <c r="B188" s="200" t="str">
        <f aca="false">IFERROR(__xludf.dummyfunction("""COMPUTED_VALUE"""),"5")</f>
        <v>5</v>
      </c>
      <c r="C188" s="207" t="str">
        <f aca="false">IFERROR(__xludf.dummyfunction("""COMPUTED_VALUE"""),"Infraestrutura")</f>
        <v>Infraestrutura</v>
      </c>
      <c r="D188" s="207" t="str">
        <f aca="false">IFERROR(__xludf.dummyfunction("""COMPUTED_VALUE"""),"Prover a infraestrutura e insumos visando o funcionamento institucional, reavaliando permanentemente os gastos, sempre com vistas à sustentabilidade econômica;")</f>
        <v>Prover a infraestrutura e insumos visando o funcionamento institucional, reavaliando permanentemente os gastos, sempre com vistas à sustentabilidade econômica;</v>
      </c>
      <c r="E188" s="207" t="str">
        <f aca="false">IFERROR(__xludf.dummyfunction("""COMPUTED_VALUE"""),"A infraestrutura física")</f>
        <v>A infraestrutura física</v>
      </c>
      <c r="F188" s="200" t="str">
        <f aca="false">IFERROR(__xludf.dummyfunction("""COMPUTED_VALUE"""),"PROAGI")</f>
        <v>PROAGI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</row>
    <row r="189" customFormat="false" ht="15" hidden="false" customHeight="false" outlineLevel="0" collapsed="false">
      <c r="A189" s="200" t="str">
        <f aca="false">IFERROR(__xludf.dummyfunction("""COMPUTED_VALUE"""),"5.7")</f>
        <v>5.7</v>
      </c>
      <c r="B189" s="200" t="str">
        <f aca="false">IFERROR(__xludf.dummyfunction("""COMPUTED_VALUE"""),"5")</f>
        <v>5</v>
      </c>
      <c r="C189" s="207" t="str">
        <f aca="false">IFERROR(__xludf.dummyfunction("""COMPUTED_VALUE"""),"Infraestrutura")</f>
        <v>Infraestrutura</v>
      </c>
      <c r="D189" s="207" t="str">
        <f aca="false">IFERROR(__xludf.dummyfunction("""COMPUTED_VALUE"""),"Monitorar e apoiar a execução do Plano Diretor de Tecnologia da Informação e Comunicação, provisionando recursos para a atualização do parque de TI, contribuindo para a eficiência da administração e para apoio às atividades de ensino, de pesquisa e de ext"&amp;"ensão;")</f>
        <v>Monitorar e apoiar a execução do Plano Diretor de Tecnologia da Informação e Comunicação, provisionando recursos para a atualização do parque de TI, contribuindo para a eficiência da administração e para apoio às atividades de ensino, de pesquisa e de extensão;</v>
      </c>
      <c r="E189" s="207" t="str">
        <f aca="false">IFERROR(__xludf.dummyfunction("""COMPUTED_VALUE"""),"A infraestrutura física")</f>
        <v>A infraestrutura física</v>
      </c>
      <c r="F189" s="200" t="str">
        <f aca="false">IFERROR(__xludf.dummyfunction("""COMPUTED_VALUE"""),"PROAGI")</f>
        <v>PROAGI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</row>
    <row r="190" customFormat="false" ht="15" hidden="false" customHeight="false" outlineLevel="0" collapsed="false">
      <c r="A190" s="200" t="str">
        <f aca="false">IFERROR(__xludf.dummyfunction("""COMPUTED_VALUE"""),"5.8")</f>
        <v>5.8</v>
      </c>
      <c r="B190" s="200" t="str">
        <f aca="false">IFERROR(__xludf.dummyfunction("""COMPUTED_VALUE"""),"5")</f>
        <v>5</v>
      </c>
      <c r="C190" s="207" t="str">
        <f aca="false">IFERROR(__xludf.dummyfunction("""COMPUTED_VALUE"""),"Infraestrutura")</f>
        <v>Infraestrutura</v>
      </c>
      <c r="D190" s="207" t="str">
        <f aca="false">IFERROR(__xludf.dummyfunction("""COMPUTED_VALUE"""),"Manter um planejamento contínuo para manutenção / aquisição de equipamentos de laboratórios, informática e insumos.")</f>
        <v>Manter um planejamento contínuo para manutenção / aquisição de equipamentos de laboratórios, informática e insumos.</v>
      </c>
      <c r="E190" s="207" t="str">
        <f aca="false">IFERROR(__xludf.dummyfunction("""COMPUTED_VALUE"""),"A infraestrutura física")</f>
        <v>A infraestrutura física</v>
      </c>
      <c r="F190" s="200" t="str">
        <f aca="false">IFERROR(__xludf.dummyfunction("""COMPUTED_VALUE"""),"REITORIA / GB / SACT / PROAGI")</f>
        <v>REITORIA / GB / SACT / PROAGI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</row>
    <row r="191" customFormat="false" ht="15" hidden="false" customHeight="false" outlineLevel="0" collapsed="false">
      <c r="A191" s="200" t="str">
        <f aca="false">IFERROR(__xludf.dummyfunction("""COMPUTED_VALUE"""),"5.9")</f>
        <v>5.9</v>
      </c>
      <c r="B191" s="200" t="str">
        <f aca="false">IFERROR(__xludf.dummyfunction("""COMPUTED_VALUE"""),"5")</f>
        <v>5</v>
      </c>
      <c r="C191" s="207" t="str">
        <f aca="false">IFERROR(__xludf.dummyfunction("""COMPUTED_VALUE"""),"Infraestrutura")</f>
        <v>Infraestrutura</v>
      </c>
      <c r="D191" s="207" t="str">
        <f aca="false">IFERROR(__xludf.dummyfunction("""COMPUTED_VALUE"""),"Ampliar o uso e o acervo da biblioteca digital da UNILA, bem como do acervo físico da BIUNILA;")</f>
        <v>Ampliar o uso e o acervo da biblioteca digital da UNILA, bem como do acervo físico da BIUNILA;</v>
      </c>
      <c r="E191" s="207" t="str">
        <f aca="false">IFERROR(__xludf.dummyfunction("""COMPUTED_VALUE"""),"A infraestrutura física")</f>
        <v>A infraestrutura física</v>
      </c>
      <c r="F191" s="200" t="str">
        <f aca="false">IFERROR(__xludf.dummyfunction("""COMPUTED_VALUE"""),"BIUNILA")</f>
        <v>BIUNILA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</row>
    <row r="192" customFormat="false" ht="15" hidden="false" customHeight="false" outlineLevel="0" collapsed="false">
      <c r="A192" s="200" t="str">
        <f aca="false">IFERROR(__xludf.dummyfunction("""COMPUTED_VALUE"""),"5.10")</f>
        <v>5.10</v>
      </c>
      <c r="B192" s="200" t="str">
        <f aca="false">IFERROR(__xludf.dummyfunction("""COMPUTED_VALUE"""),"5")</f>
        <v>5</v>
      </c>
      <c r="C192" s="207" t="str">
        <f aca="false">IFERROR(__xludf.dummyfunction("""COMPUTED_VALUE"""),"Infraestrutura")</f>
        <v>Infraestrutura</v>
      </c>
      <c r="D192" s="207" t="str">
        <f aca="false">IFERROR(__xludf.dummyfunction("""COMPUTED_VALUE"""),"Estabelecer critérios objetivos para a priorização de compras de equipamentos de pesquisa.")</f>
        <v>Estabelecer critérios objetivos para a priorização de compras de equipamentos de pesquisa.</v>
      </c>
      <c r="E192" s="207" t="str">
        <f aca="false">IFERROR(__xludf.dummyfunction("""COMPUTED_VALUE"""),"A infraestrutura física")</f>
        <v>A infraestrutura física</v>
      </c>
      <c r="F192" s="200" t="str">
        <f aca="false">IFERROR(__xludf.dummyfunction("""COMPUTED_VALUE"""),"REITORIA / GB / SACT")</f>
        <v>REITORIA / GB / SACT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</row>
    <row r="193" customFormat="false" ht="15" hidden="false" customHeight="false" outlineLevel="0" collapsed="false">
      <c r="A193" s="200" t="str">
        <f aca="false">IFERROR(__xludf.dummyfunction("""COMPUTED_VALUE"""),"5.11")</f>
        <v>5.11</v>
      </c>
      <c r="B193" s="200" t="str">
        <f aca="false">IFERROR(__xludf.dummyfunction("""COMPUTED_VALUE"""),"5")</f>
        <v>5</v>
      </c>
      <c r="C193" s="207" t="str">
        <f aca="false">IFERROR(__xludf.dummyfunction("""COMPUTED_VALUE"""),"Infraestrutura")</f>
        <v>Infraestrutura</v>
      </c>
      <c r="D193" s="207" t="str">
        <f aca="false">IFERROR(__xludf.dummyfunction("""COMPUTED_VALUE"""),"Primar pela eficiência energética, sustentabilidade ambiental e conforto térmico em construções da UNILA e na operação de espaços universitários;")</f>
        <v>Primar pela eficiência energética, sustentabilidade ambiental e conforto térmico em construções da UNILA e na operação de espaços universitários;</v>
      </c>
      <c r="E193" s="207" t="str">
        <f aca="false">IFERROR(__xludf.dummyfunction("""COMPUTED_VALUE"""),"A infraestrutura física")</f>
        <v>A infraestrutura física</v>
      </c>
      <c r="F193" s="200" t="str">
        <f aca="false">IFERROR(__xludf.dummyfunction("""COMPUTED_VALUE"""),"SECIC")</f>
        <v>SECIC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</row>
    <row r="194" customFormat="false" ht="15" hidden="false" customHeight="false" outlineLevel="0" collapsed="false">
      <c r="A194" s="200" t="str">
        <f aca="false">IFERROR(__xludf.dummyfunction("""COMPUTED_VALUE"""),"5.12")</f>
        <v>5.12</v>
      </c>
      <c r="B194" s="200" t="str">
        <f aca="false">IFERROR(__xludf.dummyfunction("""COMPUTED_VALUE"""),"5")</f>
        <v>5</v>
      </c>
      <c r="C194" s="207" t="str">
        <f aca="false">IFERROR(__xludf.dummyfunction("""COMPUTED_VALUE"""),"Infraestrutura")</f>
        <v>Infraestrutura</v>
      </c>
      <c r="D194" s="207" t="str">
        <f aca="false">IFERROR(__xludf.dummyfunction("""COMPUTED_VALUE"""),"Desenvolver projetos para eficiência energética e sustentabilidade ambiental em construções e na operação de espaços universitários;")</f>
        <v>Desenvolver projetos para eficiência energética e sustentabilidade ambiental em construções e na operação de espaços universitários;</v>
      </c>
      <c r="E194" s="207" t="str">
        <f aca="false">IFERROR(__xludf.dummyfunction("""COMPUTED_VALUE"""),"A infraestrutura física")</f>
        <v>A infraestrutura física</v>
      </c>
      <c r="F194" s="200" t="str">
        <f aca="false">IFERROR(__xludf.dummyfunction("""COMPUTED_VALUE"""),"SECIC")</f>
        <v>SECIC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</row>
    <row r="195" customFormat="false" ht="15" hidden="false" customHeight="false" outlineLevel="0" collapsed="false">
      <c r="A195" s="200" t="str">
        <f aca="false">IFERROR(__xludf.dummyfunction("""COMPUTED_VALUE"""),"5.13")</f>
        <v>5.13</v>
      </c>
      <c r="B195" s="200" t="str">
        <f aca="false">IFERROR(__xludf.dummyfunction("""COMPUTED_VALUE"""),"5")</f>
        <v>5</v>
      </c>
      <c r="C195" s="207" t="str">
        <f aca="false">IFERROR(__xludf.dummyfunction("""COMPUTED_VALUE"""),"Infraestrutura")</f>
        <v>Infraestrutura</v>
      </c>
      <c r="D195" s="207" t="str">
        <f aca="false">IFERROR(__xludf.dummyfunction("""COMPUTED_VALUE"""),"Atender normas de acessibilidade em construções e em prédios já em funcionamento da UNILA;")</f>
        <v>Atender normas de acessibilidade em construções e em prédios já em funcionamento da UNILA;</v>
      </c>
      <c r="E195" s="207" t="str">
        <f aca="false">IFERROR(__xludf.dummyfunction("""COMPUTED_VALUE"""),"A infraestrutura física")</f>
        <v>A infraestrutura física</v>
      </c>
      <c r="F195" s="200" t="str">
        <f aca="false">IFERROR(__xludf.dummyfunction("""COMPUTED_VALUE"""),"SECIC / PROAGI")</f>
        <v>SECIC / PROAGI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</row>
    <row r="196" customFormat="false" ht="15" hidden="false" customHeight="false" outlineLevel="0" collapsed="false">
      <c r="A196" s="200" t="str">
        <f aca="false">IFERROR(__xludf.dummyfunction("""COMPUTED_VALUE"""),"5.14")</f>
        <v>5.14</v>
      </c>
      <c r="B196" s="200" t="str">
        <f aca="false">IFERROR(__xludf.dummyfunction("""COMPUTED_VALUE"""),"5")</f>
        <v>5</v>
      </c>
      <c r="C196" s="207" t="str">
        <f aca="false">IFERROR(__xludf.dummyfunction("""COMPUTED_VALUE"""),"Infraestrutura")</f>
        <v>Infraestrutura</v>
      </c>
      <c r="D196" s="207" t="str">
        <f aca="false">IFERROR(__xludf.dummyfunction("""COMPUTED_VALUE"""),"Aprimorar a governança de TI apoiando o planejamento, a execução e o monitoramento da capacidade da infraestrutura e dos serviços de tecnologia da informação e comunicação;")</f>
        <v>Aprimorar a governança de TI apoiando o planejamento, a execução e o monitoramento da capacidade da infraestrutura e dos serviços de tecnologia da informação e comunicação;</v>
      </c>
      <c r="E196" s="207" t="str">
        <f aca="false">IFERROR(__xludf.dummyfunction("""COMPUTED_VALUE"""),"A infraestrutura física")</f>
        <v>A infraestrutura física</v>
      </c>
      <c r="F196" s="200" t="str">
        <f aca="false">IFERROR(__xludf.dummyfunction("""COMPUTED_VALUE"""),"PROAGI")</f>
        <v>PROAGI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</row>
    <row r="197" customFormat="false" ht="15" hidden="false" customHeight="false" outlineLevel="0" collapsed="false">
      <c r="A197" s="200" t="str">
        <f aca="false">IFERROR(__xludf.dummyfunction("""COMPUTED_VALUE"""),"5.15")</f>
        <v>5.15</v>
      </c>
      <c r="B197" s="200" t="str">
        <f aca="false">IFERROR(__xludf.dummyfunction("""COMPUTED_VALUE"""),"5")</f>
        <v>5</v>
      </c>
      <c r="C197" s="207" t="str">
        <f aca="false">IFERROR(__xludf.dummyfunction("""COMPUTED_VALUE"""),"Infraestrutura")</f>
        <v>Infraestrutura</v>
      </c>
      <c r="D197" s="207" t="str">
        <f aca="false">IFERROR(__xludf.dummyfunction("""COMPUTED_VALUE"""),"Implementar ações voltadas à regularização da situação patrimonial dos bens móveis da UNILA;")</f>
        <v>Implementar ações voltadas à regularização da situação patrimonial dos bens móveis da UNILA;</v>
      </c>
      <c r="E197" s="207" t="str">
        <f aca="false">IFERROR(__xludf.dummyfunction("""COMPUTED_VALUE"""),"A infraestrutura física")</f>
        <v>A infraestrutura física</v>
      </c>
      <c r="F197" s="200" t="str">
        <f aca="false">IFERROR(__xludf.dummyfunction("""COMPUTED_VALUE"""),"PROAGI")</f>
        <v>PROAGI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</row>
    <row r="198" customFormat="false" ht="15" hidden="false" customHeight="false" outlineLevel="0" collapsed="false">
      <c r="A198" s="209"/>
      <c r="B198" s="209"/>
      <c r="C198" s="209"/>
      <c r="D198" s="209"/>
      <c r="E198" s="209"/>
      <c r="F198" s="210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</row>
    <row r="199" customFormat="false" ht="15" hidden="false" customHeight="false" outlineLevel="0" collapsed="false">
      <c r="A199" s="209"/>
      <c r="B199" s="209"/>
      <c r="C199" s="209"/>
      <c r="D199" s="209"/>
      <c r="E199" s="209"/>
      <c r="F199" s="210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</row>
    <row r="200" customFormat="false" ht="15" hidden="false" customHeight="false" outlineLevel="0" collapsed="false">
      <c r="A200" s="209"/>
      <c r="B200" s="209"/>
      <c r="C200" s="209"/>
      <c r="D200" s="209"/>
      <c r="E200" s="209"/>
      <c r="F200" s="210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</row>
    <row r="201" customFormat="false" ht="15" hidden="false" customHeight="false" outlineLevel="0" collapsed="false">
      <c r="A201" s="209"/>
      <c r="B201" s="209"/>
      <c r="C201" s="209"/>
      <c r="D201" s="209"/>
      <c r="E201" s="209"/>
      <c r="F201" s="210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</row>
    <row r="202" customFormat="false" ht="15" hidden="false" customHeight="false" outlineLevel="0" collapsed="false">
      <c r="A202" s="209"/>
      <c r="B202" s="209"/>
      <c r="C202" s="209"/>
      <c r="D202" s="209"/>
      <c r="E202" s="209"/>
      <c r="F202" s="210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</row>
    <row r="203" customFormat="false" ht="15" hidden="false" customHeight="false" outlineLevel="0" collapsed="false">
      <c r="A203" s="209"/>
      <c r="B203" s="209"/>
      <c r="C203" s="209"/>
      <c r="D203" s="209"/>
      <c r="E203" s="209"/>
      <c r="F203" s="210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</row>
    <row r="204" customFormat="false" ht="15" hidden="false" customHeight="false" outlineLevel="0" collapsed="false">
      <c r="A204" s="209"/>
      <c r="B204" s="209"/>
      <c r="C204" s="209"/>
      <c r="D204" s="209"/>
      <c r="E204" s="209"/>
      <c r="F204" s="210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</row>
    <row r="205" customFormat="false" ht="15" hidden="false" customHeight="false" outlineLevel="0" collapsed="false">
      <c r="A205" s="209"/>
      <c r="B205" s="209"/>
      <c r="C205" s="209"/>
      <c r="D205" s="209"/>
      <c r="E205" s="209"/>
      <c r="F205" s="210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</row>
    <row r="206" customFormat="false" ht="15" hidden="false" customHeight="false" outlineLevel="0" collapsed="false">
      <c r="A206" s="209"/>
      <c r="B206" s="209"/>
      <c r="C206" s="209"/>
      <c r="D206" s="209"/>
      <c r="E206" s="209"/>
      <c r="F206" s="210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</row>
    <row r="207" customFormat="false" ht="15" hidden="false" customHeight="false" outlineLevel="0" collapsed="false">
      <c r="A207" s="209"/>
      <c r="B207" s="209"/>
      <c r="C207" s="209"/>
      <c r="D207" s="209"/>
      <c r="E207" s="209"/>
      <c r="F207" s="210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</row>
    <row r="208" customFormat="false" ht="15" hidden="false" customHeight="false" outlineLevel="0" collapsed="false">
      <c r="A208" s="209"/>
      <c r="B208" s="209"/>
      <c r="C208" s="209"/>
      <c r="D208" s="209"/>
      <c r="E208" s="209"/>
      <c r="F208" s="210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</row>
    <row r="209" customFormat="false" ht="15" hidden="false" customHeight="false" outlineLevel="0" collapsed="false">
      <c r="A209" s="209"/>
      <c r="B209" s="209"/>
      <c r="C209" s="209"/>
      <c r="D209" s="209"/>
      <c r="E209" s="209"/>
      <c r="F209" s="210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</row>
    <row r="210" customFormat="false" ht="15" hidden="false" customHeight="false" outlineLevel="0" collapsed="false">
      <c r="A210" s="209"/>
      <c r="B210" s="209"/>
      <c r="C210" s="209"/>
      <c r="D210" s="209"/>
      <c r="E210" s="209"/>
      <c r="F210" s="210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</row>
    <row r="211" customFormat="false" ht="15" hidden="false" customHeight="false" outlineLevel="0" collapsed="false">
      <c r="A211" s="209"/>
      <c r="B211" s="209"/>
      <c r="C211" s="209"/>
      <c r="D211" s="209"/>
      <c r="E211" s="209"/>
      <c r="F211" s="210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</row>
    <row r="212" customFormat="false" ht="15" hidden="false" customHeight="false" outlineLevel="0" collapsed="false">
      <c r="A212" s="209"/>
      <c r="B212" s="209"/>
      <c r="C212" s="209"/>
      <c r="D212" s="209"/>
      <c r="E212" s="209"/>
      <c r="F212" s="210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</row>
    <row r="213" customFormat="false" ht="15" hidden="false" customHeight="false" outlineLevel="0" collapsed="false">
      <c r="A213" s="209"/>
      <c r="B213" s="209"/>
      <c r="C213" s="209"/>
      <c r="D213" s="209"/>
      <c r="E213" s="209"/>
      <c r="F213" s="210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</row>
    <row r="214" customFormat="false" ht="15" hidden="false" customHeight="false" outlineLevel="0" collapsed="false">
      <c r="A214" s="209"/>
      <c r="B214" s="209"/>
      <c r="C214" s="209"/>
      <c r="D214" s="209"/>
      <c r="E214" s="209"/>
      <c r="F214" s="210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</row>
    <row r="215" customFormat="false" ht="15" hidden="false" customHeight="false" outlineLevel="0" collapsed="false">
      <c r="A215" s="209"/>
      <c r="B215" s="209"/>
      <c r="C215" s="209"/>
      <c r="D215" s="209"/>
      <c r="E215" s="209"/>
      <c r="F215" s="210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</row>
    <row r="216" customFormat="false" ht="15" hidden="false" customHeight="false" outlineLevel="0" collapsed="false">
      <c r="A216" s="209"/>
      <c r="B216" s="209"/>
      <c r="C216" s="209"/>
      <c r="D216" s="209"/>
      <c r="E216" s="209"/>
      <c r="F216" s="210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</row>
    <row r="217" customFormat="false" ht="15" hidden="false" customHeight="false" outlineLevel="0" collapsed="false">
      <c r="A217" s="209"/>
      <c r="B217" s="209"/>
      <c r="C217" s="209"/>
      <c r="D217" s="209"/>
      <c r="E217" s="209"/>
      <c r="F217" s="210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</row>
    <row r="218" customFormat="false" ht="15" hidden="false" customHeight="false" outlineLevel="0" collapsed="false">
      <c r="A218" s="209"/>
      <c r="B218" s="209"/>
      <c r="C218" s="209"/>
      <c r="D218" s="209"/>
      <c r="E218" s="209"/>
      <c r="F218" s="210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</row>
    <row r="219" customFormat="false" ht="15" hidden="false" customHeight="false" outlineLevel="0" collapsed="false">
      <c r="A219" s="209"/>
      <c r="B219" s="209"/>
      <c r="C219" s="209"/>
      <c r="D219" s="209"/>
      <c r="E219" s="209"/>
      <c r="F219" s="210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</row>
    <row r="220" customFormat="false" ht="15" hidden="false" customHeight="false" outlineLevel="0" collapsed="false">
      <c r="A220" s="209"/>
      <c r="B220" s="209"/>
      <c r="C220" s="209"/>
      <c r="D220" s="209"/>
      <c r="E220" s="209"/>
      <c r="F220" s="210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</row>
    <row r="221" customFormat="false" ht="15" hidden="false" customHeight="false" outlineLevel="0" collapsed="false">
      <c r="A221" s="209"/>
      <c r="B221" s="209"/>
      <c r="C221" s="209"/>
      <c r="D221" s="209"/>
      <c r="E221" s="209"/>
      <c r="F221" s="210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</row>
    <row r="222" customFormat="false" ht="15" hidden="false" customHeight="false" outlineLevel="0" collapsed="false">
      <c r="A222" s="209"/>
      <c r="B222" s="209"/>
      <c r="C222" s="209"/>
      <c r="D222" s="209"/>
      <c r="E222" s="209"/>
      <c r="F222" s="210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</row>
    <row r="223" customFormat="false" ht="15" hidden="false" customHeight="false" outlineLevel="0" collapsed="false">
      <c r="A223" s="209"/>
      <c r="B223" s="209"/>
      <c r="C223" s="209"/>
      <c r="D223" s="209"/>
      <c r="E223" s="209"/>
      <c r="F223" s="210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</row>
    <row r="224" customFormat="false" ht="15" hidden="false" customHeight="false" outlineLevel="0" collapsed="false">
      <c r="A224" s="209"/>
      <c r="B224" s="209"/>
      <c r="C224" s="209"/>
      <c r="D224" s="209"/>
      <c r="E224" s="209"/>
      <c r="F224" s="210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</row>
    <row r="225" customFormat="false" ht="15" hidden="false" customHeight="false" outlineLevel="0" collapsed="false">
      <c r="A225" s="209"/>
      <c r="B225" s="209"/>
      <c r="C225" s="209"/>
      <c r="D225" s="209"/>
      <c r="E225" s="209"/>
      <c r="F225" s="210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</row>
    <row r="226" customFormat="false" ht="15" hidden="false" customHeight="false" outlineLevel="0" collapsed="false">
      <c r="A226" s="209"/>
      <c r="B226" s="209"/>
      <c r="C226" s="209"/>
      <c r="D226" s="209"/>
      <c r="E226" s="209"/>
      <c r="F226" s="210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</row>
    <row r="227" customFormat="false" ht="15" hidden="false" customHeight="false" outlineLevel="0" collapsed="false">
      <c r="A227" s="209"/>
      <c r="B227" s="209"/>
      <c r="C227" s="209"/>
      <c r="D227" s="209"/>
      <c r="E227" s="209"/>
      <c r="F227" s="210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</row>
    <row r="228" customFormat="false" ht="15" hidden="false" customHeight="false" outlineLevel="0" collapsed="false">
      <c r="A228" s="209"/>
      <c r="B228" s="209"/>
      <c r="C228" s="209"/>
      <c r="D228" s="209"/>
      <c r="E228" s="209"/>
      <c r="F228" s="210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</row>
    <row r="229" customFormat="false" ht="15" hidden="false" customHeight="false" outlineLevel="0" collapsed="false">
      <c r="A229" s="209"/>
      <c r="B229" s="209"/>
      <c r="C229" s="209"/>
      <c r="D229" s="209"/>
      <c r="E229" s="209"/>
      <c r="F229" s="210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</row>
    <row r="230" customFormat="false" ht="15" hidden="false" customHeight="false" outlineLevel="0" collapsed="false">
      <c r="A230" s="209"/>
      <c r="B230" s="209"/>
      <c r="C230" s="209"/>
      <c r="D230" s="209"/>
      <c r="E230" s="209"/>
      <c r="F230" s="210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</row>
    <row r="231" customFormat="false" ht="15" hidden="false" customHeight="false" outlineLevel="0" collapsed="false">
      <c r="A231" s="209"/>
      <c r="B231" s="209"/>
      <c r="C231" s="209"/>
      <c r="D231" s="209"/>
      <c r="E231" s="209"/>
      <c r="F231" s="210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</row>
    <row r="232" customFormat="false" ht="15" hidden="false" customHeight="false" outlineLevel="0" collapsed="false">
      <c r="A232" s="209"/>
      <c r="B232" s="209"/>
      <c r="C232" s="209"/>
      <c r="D232" s="209"/>
      <c r="E232" s="209"/>
      <c r="F232" s="210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</row>
    <row r="233" customFormat="false" ht="15" hidden="false" customHeight="false" outlineLevel="0" collapsed="false">
      <c r="A233" s="209"/>
      <c r="B233" s="209"/>
      <c r="C233" s="209"/>
      <c r="D233" s="209"/>
      <c r="E233" s="209"/>
      <c r="F233" s="210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</row>
    <row r="234" customFormat="false" ht="15" hidden="false" customHeight="false" outlineLevel="0" collapsed="false">
      <c r="A234" s="209"/>
      <c r="B234" s="209"/>
      <c r="C234" s="209"/>
      <c r="D234" s="209"/>
      <c r="E234" s="209"/>
      <c r="F234" s="210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</row>
    <row r="235" customFormat="false" ht="15" hidden="false" customHeight="false" outlineLevel="0" collapsed="false">
      <c r="A235" s="209"/>
      <c r="B235" s="209"/>
      <c r="C235" s="209"/>
      <c r="D235" s="209"/>
      <c r="E235" s="209"/>
      <c r="F235" s="210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</row>
    <row r="236" customFormat="false" ht="15" hidden="false" customHeight="false" outlineLevel="0" collapsed="false">
      <c r="A236" s="209"/>
      <c r="B236" s="209"/>
      <c r="C236" s="209"/>
      <c r="D236" s="209"/>
      <c r="E236" s="209"/>
      <c r="F236" s="210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</row>
    <row r="237" customFormat="false" ht="15" hidden="false" customHeight="false" outlineLevel="0" collapsed="false">
      <c r="A237" s="209"/>
      <c r="B237" s="209"/>
      <c r="C237" s="209"/>
      <c r="D237" s="209"/>
      <c r="E237" s="209"/>
      <c r="F237" s="210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</row>
    <row r="238" customFormat="false" ht="15" hidden="false" customHeight="false" outlineLevel="0" collapsed="false">
      <c r="A238" s="209"/>
      <c r="B238" s="209"/>
      <c r="C238" s="209"/>
      <c r="D238" s="209"/>
      <c r="E238" s="209"/>
      <c r="F238" s="210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</row>
    <row r="239" customFormat="false" ht="15" hidden="false" customHeight="false" outlineLevel="0" collapsed="false">
      <c r="A239" s="209"/>
      <c r="B239" s="209"/>
      <c r="C239" s="209"/>
      <c r="D239" s="209"/>
      <c r="E239" s="209"/>
      <c r="F239" s="210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</row>
    <row r="240" customFormat="false" ht="15" hidden="false" customHeight="false" outlineLevel="0" collapsed="false">
      <c r="A240" s="209"/>
      <c r="B240" s="209"/>
      <c r="C240" s="209"/>
      <c r="D240" s="209"/>
      <c r="E240" s="209"/>
      <c r="F240" s="210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</row>
    <row r="241" customFormat="false" ht="15" hidden="false" customHeight="false" outlineLevel="0" collapsed="false">
      <c r="A241" s="209"/>
      <c r="B241" s="209"/>
      <c r="C241" s="209"/>
      <c r="D241" s="209"/>
      <c r="E241" s="209"/>
      <c r="F241" s="210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</row>
    <row r="242" customFormat="false" ht="15" hidden="false" customHeight="false" outlineLevel="0" collapsed="false">
      <c r="A242" s="209"/>
      <c r="B242" s="209"/>
      <c r="C242" s="209"/>
      <c r="D242" s="209"/>
      <c r="E242" s="209"/>
      <c r="F242" s="210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</row>
    <row r="243" customFormat="false" ht="15" hidden="false" customHeight="false" outlineLevel="0" collapsed="false">
      <c r="A243" s="209"/>
      <c r="B243" s="209"/>
      <c r="C243" s="209"/>
      <c r="D243" s="209"/>
      <c r="E243" s="209"/>
      <c r="F243" s="210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</row>
    <row r="244" customFormat="false" ht="15" hidden="false" customHeight="false" outlineLevel="0" collapsed="false">
      <c r="A244" s="209"/>
      <c r="B244" s="209"/>
      <c r="C244" s="209"/>
      <c r="D244" s="209"/>
      <c r="E244" s="209"/>
      <c r="F244" s="210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</row>
    <row r="245" customFormat="false" ht="15" hidden="false" customHeight="false" outlineLevel="0" collapsed="false">
      <c r="A245" s="209"/>
      <c r="B245" s="209"/>
      <c r="C245" s="209"/>
      <c r="D245" s="209"/>
      <c r="E245" s="209"/>
      <c r="F245" s="210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</row>
    <row r="246" customFormat="false" ht="15" hidden="false" customHeight="false" outlineLevel="0" collapsed="false">
      <c r="A246" s="209"/>
      <c r="B246" s="209"/>
      <c r="C246" s="209"/>
      <c r="D246" s="209"/>
      <c r="E246" s="209"/>
      <c r="F246" s="210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</row>
    <row r="247" customFormat="false" ht="15" hidden="false" customHeight="false" outlineLevel="0" collapsed="false">
      <c r="A247" s="209"/>
      <c r="B247" s="209"/>
      <c r="C247" s="209"/>
      <c r="D247" s="209"/>
      <c r="E247" s="209"/>
      <c r="F247" s="210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</row>
    <row r="248" customFormat="false" ht="15" hidden="false" customHeight="false" outlineLevel="0" collapsed="false">
      <c r="A248" s="209"/>
      <c r="B248" s="209"/>
      <c r="C248" s="209"/>
      <c r="D248" s="209"/>
      <c r="E248" s="209"/>
      <c r="F248" s="210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</row>
    <row r="249" customFormat="false" ht="15" hidden="false" customHeight="false" outlineLevel="0" collapsed="false">
      <c r="A249" s="209"/>
      <c r="B249" s="209"/>
      <c r="C249" s="209"/>
      <c r="D249" s="209"/>
      <c r="E249" s="209"/>
      <c r="F249" s="210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</row>
    <row r="250" customFormat="false" ht="15" hidden="false" customHeight="false" outlineLevel="0" collapsed="false">
      <c r="A250" s="209"/>
      <c r="B250" s="209"/>
      <c r="C250" s="209"/>
      <c r="D250" s="209"/>
      <c r="E250" s="209"/>
      <c r="F250" s="210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</row>
    <row r="251" customFormat="false" ht="15" hidden="false" customHeight="false" outlineLevel="0" collapsed="false">
      <c r="A251" s="209"/>
      <c r="B251" s="209"/>
      <c r="C251" s="209"/>
      <c r="D251" s="209"/>
      <c r="E251" s="209"/>
      <c r="F251" s="210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</row>
    <row r="252" customFormat="false" ht="15" hidden="false" customHeight="false" outlineLevel="0" collapsed="false">
      <c r="A252" s="209"/>
      <c r="B252" s="209"/>
      <c r="C252" s="209"/>
      <c r="D252" s="209"/>
      <c r="E252" s="209"/>
      <c r="F252" s="210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</row>
    <row r="253" customFormat="false" ht="15" hidden="false" customHeight="false" outlineLevel="0" collapsed="false">
      <c r="A253" s="209"/>
      <c r="B253" s="209"/>
      <c r="C253" s="209"/>
      <c r="D253" s="209"/>
      <c r="E253" s="209"/>
      <c r="F253" s="210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</row>
    <row r="254" customFormat="false" ht="15" hidden="false" customHeight="false" outlineLevel="0" collapsed="false">
      <c r="A254" s="209"/>
      <c r="B254" s="209"/>
      <c r="C254" s="209"/>
      <c r="D254" s="209"/>
      <c r="E254" s="209"/>
      <c r="F254" s="210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</row>
    <row r="255" customFormat="false" ht="15" hidden="false" customHeight="false" outlineLevel="0" collapsed="false">
      <c r="A255" s="209"/>
      <c r="B255" s="209"/>
      <c r="C255" s="209"/>
      <c r="D255" s="209"/>
      <c r="E255" s="209"/>
      <c r="F255" s="210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</row>
    <row r="256" customFormat="false" ht="15" hidden="false" customHeight="false" outlineLevel="0" collapsed="false">
      <c r="A256" s="209"/>
      <c r="B256" s="209"/>
      <c r="C256" s="209"/>
      <c r="D256" s="209"/>
      <c r="E256" s="209"/>
      <c r="F256" s="210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</row>
    <row r="257" customFormat="false" ht="15" hidden="false" customHeight="false" outlineLevel="0" collapsed="false">
      <c r="A257" s="209"/>
      <c r="B257" s="209"/>
      <c r="C257" s="209"/>
      <c r="D257" s="209"/>
      <c r="E257" s="209"/>
      <c r="F257" s="210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</row>
    <row r="258" customFormat="false" ht="15" hidden="false" customHeight="false" outlineLevel="0" collapsed="false">
      <c r="A258" s="209"/>
      <c r="B258" s="209"/>
      <c r="C258" s="209"/>
      <c r="D258" s="209"/>
      <c r="E258" s="209"/>
      <c r="F258" s="210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</row>
    <row r="259" customFormat="false" ht="15" hidden="false" customHeight="false" outlineLevel="0" collapsed="false">
      <c r="A259" s="209"/>
      <c r="B259" s="209"/>
      <c r="C259" s="209"/>
      <c r="D259" s="209"/>
      <c r="E259" s="209"/>
      <c r="F259" s="210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</row>
    <row r="260" customFormat="false" ht="15" hidden="false" customHeight="false" outlineLevel="0" collapsed="false">
      <c r="A260" s="209"/>
      <c r="B260" s="209"/>
      <c r="C260" s="209"/>
      <c r="D260" s="209"/>
      <c r="E260" s="209"/>
      <c r="F260" s="210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</row>
    <row r="261" customFormat="false" ht="15" hidden="false" customHeight="false" outlineLevel="0" collapsed="false">
      <c r="A261" s="209"/>
      <c r="B261" s="209"/>
      <c r="C261" s="209"/>
      <c r="D261" s="209"/>
      <c r="E261" s="209"/>
      <c r="F261" s="210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</row>
    <row r="262" customFormat="false" ht="15" hidden="false" customHeight="false" outlineLevel="0" collapsed="false">
      <c r="A262" s="209"/>
      <c r="B262" s="209"/>
      <c r="C262" s="209"/>
      <c r="D262" s="209"/>
      <c r="E262" s="209"/>
      <c r="F262" s="210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</row>
    <row r="263" customFormat="false" ht="15" hidden="false" customHeight="false" outlineLevel="0" collapsed="false">
      <c r="A263" s="209"/>
      <c r="B263" s="209"/>
      <c r="C263" s="209"/>
      <c r="D263" s="209"/>
      <c r="E263" s="209"/>
      <c r="F263" s="210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</row>
    <row r="264" customFormat="false" ht="15" hidden="false" customHeight="false" outlineLevel="0" collapsed="false">
      <c r="A264" s="209"/>
      <c r="B264" s="209"/>
      <c r="C264" s="209"/>
      <c r="D264" s="209"/>
      <c r="E264" s="209"/>
      <c r="F264" s="210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</row>
    <row r="265" customFormat="false" ht="15" hidden="false" customHeight="false" outlineLevel="0" collapsed="false">
      <c r="A265" s="209"/>
      <c r="B265" s="209"/>
      <c r="C265" s="209"/>
      <c r="D265" s="209"/>
      <c r="E265" s="209"/>
      <c r="F265" s="210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</row>
    <row r="266" customFormat="false" ht="15" hidden="false" customHeight="false" outlineLevel="0" collapsed="false">
      <c r="A266" s="209"/>
      <c r="B266" s="209"/>
      <c r="C266" s="209"/>
      <c r="D266" s="209"/>
      <c r="E266" s="209"/>
      <c r="F266" s="210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</row>
    <row r="267" customFormat="false" ht="15" hidden="false" customHeight="false" outlineLevel="0" collapsed="false">
      <c r="A267" s="209"/>
      <c r="B267" s="209"/>
      <c r="C267" s="209"/>
      <c r="D267" s="209"/>
      <c r="E267" s="209"/>
      <c r="F267" s="210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</row>
    <row r="268" customFormat="false" ht="15" hidden="false" customHeight="false" outlineLevel="0" collapsed="false">
      <c r="A268" s="209"/>
      <c r="B268" s="209"/>
      <c r="C268" s="209"/>
      <c r="D268" s="209"/>
      <c r="E268" s="209"/>
      <c r="F268" s="210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</row>
    <row r="269" customFormat="false" ht="15" hidden="false" customHeight="false" outlineLevel="0" collapsed="false">
      <c r="A269" s="209"/>
      <c r="B269" s="209"/>
      <c r="C269" s="209"/>
      <c r="D269" s="209"/>
      <c r="E269" s="209"/>
      <c r="F269" s="210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</row>
    <row r="270" customFormat="false" ht="15" hidden="false" customHeight="false" outlineLevel="0" collapsed="false">
      <c r="A270" s="209"/>
      <c r="B270" s="209"/>
      <c r="C270" s="209"/>
      <c r="D270" s="209"/>
      <c r="E270" s="209"/>
      <c r="F270" s="210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</row>
    <row r="271" customFormat="false" ht="15" hidden="false" customHeight="false" outlineLevel="0" collapsed="false">
      <c r="A271" s="209"/>
      <c r="B271" s="209"/>
      <c r="C271" s="209"/>
      <c r="D271" s="209"/>
      <c r="E271" s="209"/>
      <c r="F271" s="210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</row>
    <row r="272" customFormat="false" ht="15" hidden="false" customHeight="false" outlineLevel="0" collapsed="false">
      <c r="A272" s="209"/>
      <c r="B272" s="209"/>
      <c r="C272" s="209"/>
      <c r="D272" s="209"/>
      <c r="E272" s="209"/>
      <c r="F272" s="210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</row>
    <row r="273" customFormat="false" ht="15" hidden="false" customHeight="false" outlineLevel="0" collapsed="false">
      <c r="A273" s="209"/>
      <c r="B273" s="209"/>
      <c r="C273" s="209"/>
      <c r="D273" s="209"/>
      <c r="E273" s="209"/>
      <c r="F273" s="210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</row>
    <row r="274" customFormat="false" ht="15" hidden="false" customHeight="false" outlineLevel="0" collapsed="false">
      <c r="A274" s="209"/>
      <c r="B274" s="209"/>
      <c r="C274" s="209"/>
      <c r="D274" s="209"/>
      <c r="E274" s="209"/>
      <c r="F274" s="210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</row>
    <row r="275" customFormat="false" ht="15" hidden="false" customHeight="false" outlineLevel="0" collapsed="false">
      <c r="A275" s="209"/>
      <c r="B275" s="209"/>
      <c r="C275" s="209"/>
      <c r="D275" s="209"/>
      <c r="E275" s="209"/>
      <c r="F275" s="210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</row>
    <row r="276" customFormat="false" ht="15" hidden="false" customHeight="false" outlineLevel="0" collapsed="false">
      <c r="A276" s="209"/>
      <c r="B276" s="209"/>
      <c r="C276" s="209"/>
      <c r="D276" s="209"/>
      <c r="E276" s="209"/>
      <c r="F276" s="210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</row>
    <row r="277" customFormat="false" ht="15" hidden="false" customHeight="false" outlineLevel="0" collapsed="false">
      <c r="A277" s="209"/>
      <c r="B277" s="209"/>
      <c r="C277" s="209"/>
      <c r="D277" s="209"/>
      <c r="E277" s="209"/>
      <c r="F277" s="210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</row>
    <row r="278" customFormat="false" ht="15" hidden="false" customHeight="false" outlineLevel="0" collapsed="false">
      <c r="A278" s="209"/>
      <c r="B278" s="209"/>
      <c r="C278" s="209"/>
      <c r="D278" s="209"/>
      <c r="E278" s="209"/>
      <c r="F278" s="210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</row>
    <row r="279" customFormat="false" ht="15" hidden="false" customHeight="false" outlineLevel="0" collapsed="false">
      <c r="A279" s="209"/>
      <c r="B279" s="209"/>
      <c r="C279" s="209"/>
      <c r="D279" s="209"/>
      <c r="E279" s="209"/>
      <c r="F279" s="210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</row>
    <row r="280" customFormat="false" ht="15" hidden="false" customHeight="false" outlineLevel="0" collapsed="false">
      <c r="A280" s="209"/>
      <c r="B280" s="209"/>
      <c r="C280" s="209"/>
      <c r="D280" s="209"/>
      <c r="E280" s="209"/>
      <c r="F280" s="210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</row>
    <row r="281" customFormat="false" ht="15" hidden="false" customHeight="false" outlineLevel="0" collapsed="false">
      <c r="A281" s="209"/>
      <c r="B281" s="209"/>
      <c r="C281" s="209"/>
      <c r="D281" s="209"/>
      <c r="E281" s="209"/>
      <c r="F281" s="210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</row>
    <row r="282" customFormat="false" ht="15" hidden="false" customHeight="false" outlineLevel="0" collapsed="false">
      <c r="A282" s="209"/>
      <c r="B282" s="209"/>
      <c r="C282" s="209"/>
      <c r="D282" s="209"/>
      <c r="E282" s="209"/>
      <c r="F282" s="210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</row>
    <row r="283" customFormat="false" ht="15" hidden="false" customHeight="false" outlineLevel="0" collapsed="false">
      <c r="A283" s="209"/>
      <c r="B283" s="209"/>
      <c r="C283" s="209"/>
      <c r="D283" s="209"/>
      <c r="E283" s="209"/>
      <c r="F283" s="210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</row>
    <row r="284" customFormat="false" ht="15" hidden="false" customHeight="false" outlineLevel="0" collapsed="false">
      <c r="A284" s="209"/>
      <c r="B284" s="209"/>
      <c r="C284" s="209"/>
      <c r="D284" s="209"/>
      <c r="E284" s="209"/>
      <c r="F284" s="210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</row>
    <row r="285" customFormat="false" ht="15" hidden="false" customHeight="false" outlineLevel="0" collapsed="false">
      <c r="A285" s="209"/>
      <c r="B285" s="209"/>
      <c r="C285" s="209"/>
      <c r="D285" s="209"/>
      <c r="E285" s="209"/>
      <c r="F285" s="210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</row>
    <row r="286" customFormat="false" ht="15" hidden="false" customHeight="false" outlineLevel="0" collapsed="false">
      <c r="A286" s="209"/>
      <c r="B286" s="209"/>
      <c r="C286" s="209"/>
      <c r="D286" s="209"/>
      <c r="E286" s="209"/>
      <c r="F286" s="210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</row>
    <row r="287" customFormat="false" ht="15" hidden="false" customHeight="false" outlineLevel="0" collapsed="false">
      <c r="A287" s="209"/>
      <c r="B287" s="209"/>
      <c r="C287" s="209"/>
      <c r="D287" s="209"/>
      <c r="E287" s="209"/>
      <c r="F287" s="210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</row>
    <row r="288" customFormat="false" ht="15" hidden="false" customHeight="false" outlineLevel="0" collapsed="false">
      <c r="A288" s="209"/>
      <c r="B288" s="209"/>
      <c r="C288" s="209"/>
      <c r="D288" s="209"/>
      <c r="E288" s="209"/>
      <c r="F288" s="210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</row>
    <row r="289" customFormat="false" ht="15" hidden="false" customHeight="false" outlineLevel="0" collapsed="false">
      <c r="A289" s="209"/>
      <c r="B289" s="209"/>
      <c r="C289" s="209"/>
      <c r="D289" s="209"/>
      <c r="E289" s="209"/>
      <c r="F289" s="210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</row>
    <row r="290" customFormat="false" ht="15" hidden="false" customHeight="false" outlineLevel="0" collapsed="false">
      <c r="A290" s="209"/>
      <c r="B290" s="209"/>
      <c r="C290" s="209"/>
      <c r="D290" s="209"/>
      <c r="E290" s="209"/>
      <c r="F290" s="210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</row>
    <row r="291" customFormat="false" ht="15" hidden="false" customHeight="false" outlineLevel="0" collapsed="false">
      <c r="A291" s="209"/>
      <c r="B291" s="209"/>
      <c r="C291" s="209"/>
      <c r="D291" s="209"/>
      <c r="E291" s="209"/>
      <c r="F291" s="210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</row>
    <row r="292" customFormat="false" ht="15" hidden="false" customHeight="false" outlineLevel="0" collapsed="false">
      <c r="A292" s="209"/>
      <c r="B292" s="209"/>
      <c r="C292" s="209"/>
      <c r="D292" s="209"/>
      <c r="E292" s="209"/>
      <c r="F292" s="210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</row>
    <row r="293" customFormat="false" ht="15" hidden="false" customHeight="false" outlineLevel="0" collapsed="false">
      <c r="A293" s="209"/>
      <c r="B293" s="209"/>
      <c r="C293" s="209"/>
      <c r="D293" s="209"/>
      <c r="E293" s="209"/>
      <c r="F293" s="210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</row>
    <row r="294" customFormat="false" ht="15" hidden="false" customHeight="false" outlineLevel="0" collapsed="false">
      <c r="A294" s="209"/>
      <c r="B294" s="209"/>
      <c r="C294" s="209"/>
      <c r="D294" s="209"/>
      <c r="E294" s="209"/>
      <c r="F294" s="210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</row>
    <row r="295" customFormat="false" ht="15" hidden="false" customHeight="false" outlineLevel="0" collapsed="false">
      <c r="A295" s="209"/>
      <c r="B295" s="209"/>
      <c r="C295" s="209"/>
      <c r="D295" s="209"/>
      <c r="E295" s="209"/>
      <c r="F295" s="210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</row>
    <row r="296" customFormat="false" ht="15" hidden="false" customHeight="false" outlineLevel="0" collapsed="false">
      <c r="A296" s="209"/>
      <c r="B296" s="209"/>
      <c r="C296" s="209"/>
      <c r="D296" s="209"/>
      <c r="E296" s="209"/>
      <c r="F296" s="210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</row>
    <row r="297" customFormat="false" ht="15" hidden="false" customHeight="false" outlineLevel="0" collapsed="false">
      <c r="A297" s="209"/>
      <c r="B297" s="209"/>
      <c r="C297" s="209"/>
      <c r="D297" s="209"/>
      <c r="E297" s="209"/>
      <c r="F297" s="210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</row>
    <row r="298" customFormat="false" ht="15" hidden="false" customHeight="false" outlineLevel="0" collapsed="false">
      <c r="A298" s="209"/>
      <c r="B298" s="209"/>
      <c r="C298" s="209"/>
      <c r="D298" s="209"/>
      <c r="E298" s="209"/>
      <c r="F298" s="210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</row>
    <row r="299" customFormat="false" ht="15" hidden="false" customHeight="false" outlineLevel="0" collapsed="false">
      <c r="A299" s="209"/>
      <c r="B299" s="209"/>
      <c r="C299" s="209"/>
      <c r="D299" s="209"/>
      <c r="E299" s="209"/>
      <c r="F299" s="210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</row>
    <row r="300" customFormat="false" ht="15" hidden="false" customHeight="false" outlineLevel="0" collapsed="false">
      <c r="A300" s="209"/>
      <c r="B300" s="209"/>
      <c r="C300" s="209"/>
      <c r="D300" s="209"/>
      <c r="E300" s="209"/>
      <c r="F300" s="210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</row>
    <row r="301" customFormat="false" ht="15" hidden="false" customHeight="false" outlineLevel="0" collapsed="false">
      <c r="A301" s="209"/>
      <c r="B301" s="209"/>
      <c r="C301" s="209"/>
      <c r="D301" s="209"/>
      <c r="E301" s="209"/>
      <c r="F301" s="210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</row>
    <row r="302" customFormat="false" ht="15" hidden="false" customHeight="false" outlineLevel="0" collapsed="false">
      <c r="A302" s="209"/>
      <c r="B302" s="209"/>
      <c r="C302" s="209"/>
      <c r="D302" s="209"/>
      <c r="E302" s="209"/>
      <c r="F302" s="210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</row>
    <row r="303" customFormat="false" ht="15" hidden="false" customHeight="false" outlineLevel="0" collapsed="false">
      <c r="A303" s="209"/>
      <c r="B303" s="209"/>
      <c r="C303" s="209"/>
      <c r="D303" s="209"/>
      <c r="E303" s="209"/>
      <c r="F303" s="210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</row>
    <row r="304" customFormat="false" ht="15" hidden="false" customHeight="false" outlineLevel="0" collapsed="false">
      <c r="A304" s="209"/>
      <c r="B304" s="209"/>
      <c r="C304" s="209"/>
      <c r="D304" s="209"/>
      <c r="E304" s="209"/>
      <c r="F304" s="210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</row>
    <row r="305" customFormat="false" ht="15" hidden="false" customHeight="false" outlineLevel="0" collapsed="false">
      <c r="A305" s="209"/>
      <c r="B305" s="209"/>
      <c r="C305" s="209"/>
      <c r="D305" s="209"/>
      <c r="E305" s="209"/>
      <c r="F305" s="210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</row>
    <row r="306" customFormat="false" ht="15" hidden="false" customHeight="false" outlineLevel="0" collapsed="false">
      <c r="A306" s="209"/>
      <c r="B306" s="209"/>
      <c r="C306" s="209"/>
      <c r="D306" s="209"/>
      <c r="E306" s="209"/>
      <c r="F306" s="210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</row>
    <row r="307" customFormat="false" ht="15" hidden="false" customHeight="false" outlineLevel="0" collapsed="false">
      <c r="A307" s="209"/>
      <c r="B307" s="209"/>
      <c r="C307" s="209"/>
      <c r="D307" s="209"/>
      <c r="E307" s="209"/>
      <c r="F307" s="210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</row>
    <row r="308" customFormat="false" ht="15" hidden="false" customHeight="false" outlineLevel="0" collapsed="false">
      <c r="A308" s="209"/>
      <c r="B308" s="209"/>
      <c r="C308" s="209"/>
      <c r="D308" s="209"/>
      <c r="E308" s="209"/>
      <c r="F308" s="210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</row>
    <row r="309" customFormat="false" ht="15" hidden="false" customHeight="false" outlineLevel="0" collapsed="false">
      <c r="A309" s="209"/>
      <c r="B309" s="209"/>
      <c r="C309" s="209"/>
      <c r="D309" s="209"/>
      <c r="E309" s="209"/>
      <c r="F309" s="210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</row>
    <row r="310" customFormat="false" ht="15" hidden="false" customHeight="false" outlineLevel="0" collapsed="false">
      <c r="A310" s="209"/>
      <c r="B310" s="209"/>
      <c r="C310" s="209"/>
      <c r="D310" s="209"/>
      <c r="E310" s="209"/>
      <c r="F310" s="210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</row>
    <row r="311" customFormat="false" ht="15" hidden="false" customHeight="false" outlineLevel="0" collapsed="false">
      <c r="A311" s="209"/>
      <c r="B311" s="209"/>
      <c r="C311" s="209"/>
      <c r="D311" s="209"/>
      <c r="E311" s="209"/>
      <c r="F311" s="210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</row>
    <row r="312" customFormat="false" ht="15" hidden="false" customHeight="false" outlineLevel="0" collapsed="false">
      <c r="A312" s="209"/>
      <c r="B312" s="209"/>
      <c r="C312" s="209"/>
      <c r="D312" s="209"/>
      <c r="E312" s="209"/>
      <c r="F312" s="210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</row>
    <row r="313" customFormat="false" ht="15" hidden="false" customHeight="false" outlineLevel="0" collapsed="false">
      <c r="A313" s="209"/>
      <c r="B313" s="209"/>
      <c r="C313" s="209"/>
      <c r="D313" s="209"/>
      <c r="E313" s="209"/>
      <c r="F313" s="210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</row>
    <row r="314" customFormat="false" ht="15" hidden="false" customHeight="false" outlineLevel="0" collapsed="false">
      <c r="A314" s="209"/>
      <c r="B314" s="209"/>
      <c r="C314" s="209"/>
      <c r="D314" s="209"/>
      <c r="E314" s="209"/>
      <c r="F314" s="210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</row>
    <row r="315" customFormat="false" ht="15" hidden="false" customHeight="false" outlineLevel="0" collapsed="false">
      <c r="A315" s="209"/>
      <c r="B315" s="209"/>
      <c r="C315" s="209"/>
      <c r="D315" s="209"/>
      <c r="E315" s="209"/>
      <c r="F315" s="210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</row>
    <row r="316" customFormat="false" ht="15" hidden="false" customHeight="false" outlineLevel="0" collapsed="false">
      <c r="A316" s="209"/>
      <c r="B316" s="209"/>
      <c r="C316" s="209"/>
      <c r="D316" s="209"/>
      <c r="E316" s="209"/>
      <c r="F316" s="210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</row>
    <row r="317" customFormat="false" ht="15" hidden="false" customHeight="false" outlineLevel="0" collapsed="false">
      <c r="A317" s="209"/>
      <c r="B317" s="209"/>
      <c r="C317" s="209"/>
      <c r="D317" s="209"/>
      <c r="E317" s="209"/>
      <c r="F317" s="210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</row>
    <row r="318" customFormat="false" ht="15" hidden="false" customHeight="false" outlineLevel="0" collapsed="false">
      <c r="A318" s="209"/>
      <c r="B318" s="209"/>
      <c r="C318" s="209"/>
      <c r="D318" s="209"/>
      <c r="E318" s="209"/>
      <c r="F318" s="210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</row>
    <row r="319" customFormat="false" ht="15" hidden="false" customHeight="false" outlineLevel="0" collapsed="false">
      <c r="A319" s="209"/>
      <c r="B319" s="209"/>
      <c r="C319" s="209"/>
      <c r="D319" s="209"/>
      <c r="E319" s="209"/>
      <c r="F319" s="210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</row>
    <row r="320" customFormat="false" ht="15" hidden="false" customHeight="false" outlineLevel="0" collapsed="false">
      <c r="A320" s="209"/>
      <c r="B320" s="209"/>
      <c r="C320" s="209"/>
      <c r="D320" s="209"/>
      <c r="E320" s="209"/>
      <c r="F320" s="210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</row>
    <row r="321" customFormat="false" ht="15" hidden="false" customHeight="false" outlineLevel="0" collapsed="false">
      <c r="A321" s="209"/>
      <c r="B321" s="209"/>
      <c r="C321" s="209"/>
      <c r="D321" s="209"/>
      <c r="E321" s="209"/>
      <c r="F321" s="210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</row>
    <row r="322" customFormat="false" ht="15" hidden="false" customHeight="false" outlineLevel="0" collapsed="false">
      <c r="A322" s="209"/>
      <c r="B322" s="209"/>
      <c r="C322" s="209"/>
      <c r="D322" s="209"/>
      <c r="E322" s="209"/>
      <c r="F322" s="210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</row>
    <row r="323" customFormat="false" ht="15" hidden="false" customHeight="false" outlineLevel="0" collapsed="false">
      <c r="A323" s="209"/>
      <c r="B323" s="209"/>
      <c r="C323" s="209"/>
      <c r="D323" s="209"/>
      <c r="E323" s="209"/>
      <c r="F323" s="210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</row>
    <row r="324" customFormat="false" ht="15" hidden="false" customHeight="false" outlineLevel="0" collapsed="false">
      <c r="A324" s="209"/>
      <c r="B324" s="209"/>
      <c r="C324" s="209"/>
      <c r="D324" s="209"/>
      <c r="E324" s="209"/>
      <c r="F324" s="210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</row>
    <row r="325" customFormat="false" ht="15" hidden="false" customHeight="false" outlineLevel="0" collapsed="false">
      <c r="A325" s="209"/>
      <c r="B325" s="209"/>
      <c r="C325" s="209"/>
      <c r="D325" s="209"/>
      <c r="E325" s="209"/>
      <c r="F325" s="210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</row>
    <row r="326" customFormat="false" ht="15" hidden="false" customHeight="false" outlineLevel="0" collapsed="false">
      <c r="A326" s="209"/>
      <c r="B326" s="209"/>
      <c r="C326" s="209"/>
      <c r="D326" s="209"/>
      <c r="E326" s="209"/>
      <c r="F326" s="210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</row>
    <row r="327" customFormat="false" ht="15" hidden="false" customHeight="false" outlineLevel="0" collapsed="false">
      <c r="A327" s="209"/>
      <c r="B327" s="209"/>
      <c r="C327" s="209"/>
      <c r="D327" s="209"/>
      <c r="E327" s="209"/>
      <c r="F327" s="210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</row>
    <row r="328" customFormat="false" ht="15" hidden="false" customHeight="false" outlineLevel="0" collapsed="false">
      <c r="A328" s="209"/>
      <c r="B328" s="209"/>
      <c r="C328" s="209"/>
      <c r="D328" s="209"/>
      <c r="E328" s="209"/>
      <c r="F328" s="210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</row>
    <row r="329" customFormat="false" ht="15" hidden="false" customHeight="false" outlineLevel="0" collapsed="false">
      <c r="A329" s="209"/>
      <c r="B329" s="209"/>
      <c r="C329" s="209"/>
      <c r="D329" s="209"/>
      <c r="E329" s="209"/>
      <c r="F329" s="210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</row>
    <row r="330" customFormat="false" ht="15" hidden="false" customHeight="false" outlineLevel="0" collapsed="false">
      <c r="A330" s="209"/>
      <c r="B330" s="209"/>
      <c r="C330" s="209"/>
      <c r="D330" s="209"/>
      <c r="E330" s="209"/>
      <c r="F330" s="210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</row>
    <row r="331" customFormat="false" ht="15" hidden="false" customHeight="false" outlineLevel="0" collapsed="false">
      <c r="A331" s="209"/>
      <c r="B331" s="209"/>
      <c r="C331" s="209"/>
      <c r="D331" s="209"/>
      <c r="E331" s="209"/>
      <c r="F331" s="210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</row>
    <row r="332" customFormat="false" ht="15" hidden="false" customHeight="false" outlineLevel="0" collapsed="false">
      <c r="A332" s="209"/>
      <c r="B332" s="209"/>
      <c r="C332" s="209"/>
      <c r="D332" s="209"/>
      <c r="E332" s="209"/>
      <c r="F332" s="210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</row>
    <row r="333" customFormat="false" ht="15" hidden="false" customHeight="false" outlineLevel="0" collapsed="false">
      <c r="A333" s="209"/>
      <c r="B333" s="209"/>
      <c r="C333" s="209"/>
      <c r="D333" s="209"/>
      <c r="E333" s="209"/>
      <c r="F333" s="210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</row>
    <row r="334" customFormat="false" ht="15" hidden="false" customHeight="false" outlineLevel="0" collapsed="false">
      <c r="A334" s="209"/>
      <c r="B334" s="209"/>
      <c r="C334" s="209"/>
      <c r="D334" s="209"/>
      <c r="E334" s="209"/>
      <c r="F334" s="210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</row>
    <row r="335" customFormat="false" ht="15" hidden="false" customHeight="false" outlineLevel="0" collapsed="false">
      <c r="A335" s="209"/>
      <c r="B335" s="209"/>
      <c r="C335" s="209"/>
      <c r="D335" s="209"/>
      <c r="E335" s="209"/>
      <c r="F335" s="210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</row>
    <row r="336" customFormat="false" ht="15" hidden="false" customHeight="false" outlineLevel="0" collapsed="false">
      <c r="A336" s="209"/>
      <c r="B336" s="209"/>
      <c r="C336" s="209"/>
      <c r="D336" s="209"/>
      <c r="E336" s="209"/>
      <c r="F336" s="210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</row>
    <row r="337" customFormat="false" ht="15" hidden="false" customHeight="false" outlineLevel="0" collapsed="false">
      <c r="A337" s="209"/>
      <c r="B337" s="209"/>
      <c r="C337" s="209"/>
      <c r="D337" s="209"/>
      <c r="E337" s="209"/>
      <c r="F337" s="210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</row>
    <row r="338" customFormat="false" ht="15" hidden="false" customHeight="false" outlineLevel="0" collapsed="false">
      <c r="A338" s="209"/>
      <c r="B338" s="209"/>
      <c r="C338" s="209"/>
      <c r="D338" s="209"/>
      <c r="E338" s="209"/>
      <c r="F338" s="210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</row>
    <row r="339" customFormat="false" ht="15" hidden="false" customHeight="false" outlineLevel="0" collapsed="false">
      <c r="A339" s="209"/>
      <c r="B339" s="209"/>
      <c r="C339" s="209"/>
      <c r="D339" s="209"/>
      <c r="E339" s="209"/>
      <c r="F339" s="210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</row>
    <row r="340" customFormat="false" ht="15" hidden="false" customHeight="false" outlineLevel="0" collapsed="false">
      <c r="A340" s="209"/>
      <c r="B340" s="209"/>
      <c r="C340" s="209"/>
      <c r="D340" s="209"/>
      <c r="E340" s="209"/>
      <c r="F340" s="210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</row>
    <row r="341" customFormat="false" ht="15" hidden="false" customHeight="false" outlineLevel="0" collapsed="false">
      <c r="A341" s="209"/>
      <c r="B341" s="209"/>
      <c r="C341" s="209"/>
      <c r="D341" s="209"/>
      <c r="E341" s="209"/>
      <c r="F341" s="210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</row>
    <row r="342" customFormat="false" ht="15" hidden="false" customHeight="false" outlineLevel="0" collapsed="false">
      <c r="A342" s="209"/>
      <c r="B342" s="209"/>
      <c r="C342" s="209"/>
      <c r="D342" s="209"/>
      <c r="E342" s="209"/>
      <c r="F342" s="210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</row>
    <row r="343" customFormat="false" ht="15" hidden="false" customHeight="false" outlineLevel="0" collapsed="false">
      <c r="A343" s="209"/>
      <c r="B343" s="209"/>
      <c r="C343" s="209"/>
      <c r="D343" s="209"/>
      <c r="E343" s="209"/>
      <c r="F343" s="210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</row>
    <row r="344" customFormat="false" ht="15" hidden="false" customHeight="false" outlineLevel="0" collapsed="false">
      <c r="A344" s="209"/>
      <c r="B344" s="209"/>
      <c r="C344" s="209"/>
      <c r="D344" s="209"/>
      <c r="E344" s="209"/>
      <c r="F344" s="210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</row>
    <row r="345" customFormat="false" ht="15" hidden="false" customHeight="false" outlineLevel="0" collapsed="false">
      <c r="A345" s="209"/>
      <c r="B345" s="209"/>
      <c r="C345" s="209"/>
      <c r="D345" s="209"/>
      <c r="E345" s="209"/>
      <c r="F345" s="210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</row>
    <row r="346" customFormat="false" ht="15" hidden="false" customHeight="false" outlineLevel="0" collapsed="false">
      <c r="A346" s="209"/>
      <c r="B346" s="209"/>
      <c r="C346" s="209"/>
      <c r="D346" s="209"/>
      <c r="E346" s="209"/>
      <c r="F346" s="210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</row>
    <row r="347" customFormat="false" ht="15" hidden="false" customHeight="false" outlineLevel="0" collapsed="false">
      <c r="A347" s="209"/>
      <c r="B347" s="209"/>
      <c r="C347" s="209"/>
      <c r="D347" s="209"/>
      <c r="E347" s="209"/>
      <c r="F347" s="210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</row>
    <row r="348" customFormat="false" ht="15" hidden="false" customHeight="false" outlineLevel="0" collapsed="false">
      <c r="A348" s="209"/>
      <c r="B348" s="209"/>
      <c r="C348" s="209"/>
      <c r="D348" s="209"/>
      <c r="E348" s="209"/>
      <c r="F348" s="210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</row>
    <row r="349" customFormat="false" ht="15" hidden="false" customHeight="false" outlineLevel="0" collapsed="false">
      <c r="A349" s="209"/>
      <c r="B349" s="209"/>
      <c r="C349" s="209"/>
      <c r="D349" s="209"/>
      <c r="E349" s="209"/>
      <c r="F349" s="210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</row>
    <row r="350" customFormat="false" ht="15" hidden="false" customHeight="false" outlineLevel="0" collapsed="false">
      <c r="A350" s="209"/>
      <c r="B350" s="209"/>
      <c r="C350" s="209"/>
      <c r="D350" s="209"/>
      <c r="E350" s="209"/>
      <c r="F350" s="210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</row>
    <row r="351" customFormat="false" ht="15" hidden="false" customHeight="false" outlineLevel="0" collapsed="false">
      <c r="A351" s="209"/>
      <c r="B351" s="209"/>
      <c r="C351" s="209"/>
      <c r="D351" s="209"/>
      <c r="E351" s="209"/>
      <c r="F351" s="210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</row>
    <row r="352" customFormat="false" ht="15" hidden="false" customHeight="false" outlineLevel="0" collapsed="false">
      <c r="A352" s="209"/>
      <c r="B352" s="209"/>
      <c r="C352" s="209"/>
      <c r="D352" s="209"/>
      <c r="E352" s="209"/>
      <c r="F352" s="210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</row>
    <row r="353" customFormat="false" ht="15" hidden="false" customHeight="false" outlineLevel="0" collapsed="false">
      <c r="A353" s="209"/>
      <c r="B353" s="209"/>
      <c r="C353" s="209"/>
      <c r="D353" s="209"/>
      <c r="E353" s="209"/>
      <c r="F353" s="210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</row>
    <row r="354" customFormat="false" ht="15" hidden="false" customHeight="false" outlineLevel="0" collapsed="false">
      <c r="A354" s="209"/>
      <c r="B354" s="209"/>
      <c r="C354" s="209"/>
      <c r="D354" s="209"/>
      <c r="E354" s="209"/>
      <c r="F354" s="210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</row>
    <row r="355" customFormat="false" ht="15" hidden="false" customHeight="false" outlineLevel="0" collapsed="false">
      <c r="A355" s="209"/>
      <c r="B355" s="209"/>
      <c r="C355" s="209"/>
      <c r="D355" s="209"/>
      <c r="E355" s="209"/>
      <c r="F355" s="210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</row>
    <row r="356" customFormat="false" ht="15" hidden="false" customHeight="false" outlineLevel="0" collapsed="false">
      <c r="A356" s="209"/>
      <c r="B356" s="209"/>
      <c r="C356" s="209"/>
      <c r="D356" s="209"/>
      <c r="E356" s="209"/>
      <c r="F356" s="210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</row>
    <row r="357" customFormat="false" ht="15" hidden="false" customHeight="false" outlineLevel="0" collapsed="false">
      <c r="A357" s="209"/>
      <c r="B357" s="209"/>
      <c r="C357" s="209"/>
      <c r="D357" s="209"/>
      <c r="E357" s="209"/>
      <c r="F357" s="210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</row>
    <row r="358" customFormat="false" ht="15" hidden="false" customHeight="false" outlineLevel="0" collapsed="false">
      <c r="A358" s="209"/>
      <c r="B358" s="209"/>
      <c r="C358" s="209"/>
      <c r="D358" s="209"/>
      <c r="E358" s="209"/>
      <c r="F358" s="210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</row>
    <row r="359" customFormat="false" ht="15" hidden="false" customHeight="false" outlineLevel="0" collapsed="false">
      <c r="A359" s="209"/>
      <c r="B359" s="209"/>
      <c r="C359" s="209"/>
      <c r="D359" s="209"/>
      <c r="E359" s="209"/>
      <c r="F359" s="210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</row>
    <row r="360" customFormat="false" ht="15" hidden="false" customHeight="false" outlineLevel="0" collapsed="false">
      <c r="A360" s="209"/>
      <c r="B360" s="209"/>
      <c r="C360" s="209"/>
      <c r="D360" s="209"/>
      <c r="E360" s="209"/>
      <c r="F360" s="210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</row>
    <row r="361" customFormat="false" ht="15" hidden="false" customHeight="false" outlineLevel="0" collapsed="false">
      <c r="A361" s="209"/>
      <c r="B361" s="209"/>
      <c r="C361" s="209"/>
      <c r="D361" s="209"/>
      <c r="E361" s="209"/>
      <c r="F361" s="210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</row>
    <row r="362" customFormat="false" ht="15" hidden="false" customHeight="false" outlineLevel="0" collapsed="false">
      <c r="A362" s="209"/>
      <c r="B362" s="209"/>
      <c r="C362" s="209"/>
      <c r="D362" s="209"/>
      <c r="E362" s="209"/>
      <c r="F362" s="210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</row>
    <row r="363" customFormat="false" ht="15" hidden="false" customHeight="false" outlineLevel="0" collapsed="false">
      <c r="A363" s="209"/>
      <c r="B363" s="209"/>
      <c r="C363" s="209"/>
      <c r="D363" s="209"/>
      <c r="E363" s="209"/>
      <c r="F363" s="210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</row>
    <row r="364" customFormat="false" ht="15" hidden="false" customHeight="false" outlineLevel="0" collapsed="false">
      <c r="A364" s="209"/>
      <c r="B364" s="209"/>
      <c r="C364" s="209"/>
      <c r="D364" s="209"/>
      <c r="E364" s="209"/>
      <c r="F364" s="210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</row>
    <row r="365" customFormat="false" ht="15" hidden="false" customHeight="false" outlineLevel="0" collapsed="false">
      <c r="A365" s="209"/>
      <c r="B365" s="209"/>
      <c r="C365" s="209"/>
      <c r="D365" s="209"/>
      <c r="E365" s="209"/>
      <c r="F365" s="210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</row>
    <row r="366" customFormat="false" ht="15" hidden="false" customHeight="false" outlineLevel="0" collapsed="false">
      <c r="A366" s="209"/>
      <c r="B366" s="209"/>
      <c r="C366" s="209"/>
      <c r="D366" s="209"/>
      <c r="E366" s="209"/>
      <c r="F366" s="210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</row>
    <row r="367" customFormat="false" ht="15" hidden="false" customHeight="false" outlineLevel="0" collapsed="false">
      <c r="A367" s="209"/>
      <c r="B367" s="209"/>
      <c r="C367" s="209"/>
      <c r="D367" s="209"/>
      <c r="E367" s="209"/>
      <c r="F367" s="210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</row>
    <row r="368" customFormat="false" ht="15" hidden="false" customHeight="false" outlineLevel="0" collapsed="false">
      <c r="A368" s="209"/>
      <c r="B368" s="209"/>
      <c r="C368" s="209"/>
      <c r="D368" s="209"/>
      <c r="E368" s="209"/>
      <c r="F368" s="210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</row>
    <row r="369" customFormat="false" ht="15" hidden="false" customHeight="false" outlineLevel="0" collapsed="false">
      <c r="A369" s="209"/>
      <c r="B369" s="209"/>
      <c r="C369" s="209"/>
      <c r="D369" s="209"/>
      <c r="E369" s="209"/>
      <c r="F369" s="210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</row>
    <row r="370" customFormat="false" ht="15" hidden="false" customHeight="false" outlineLevel="0" collapsed="false">
      <c r="A370" s="209"/>
      <c r="B370" s="209"/>
      <c r="C370" s="209"/>
      <c r="D370" s="209"/>
      <c r="E370" s="209"/>
      <c r="F370" s="210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</row>
    <row r="371" customFormat="false" ht="15" hidden="false" customHeight="false" outlineLevel="0" collapsed="false">
      <c r="A371" s="209"/>
      <c r="B371" s="209"/>
      <c r="C371" s="209"/>
      <c r="D371" s="209"/>
      <c r="E371" s="209"/>
      <c r="F371" s="210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</row>
    <row r="372" customFormat="false" ht="15" hidden="false" customHeight="false" outlineLevel="0" collapsed="false">
      <c r="A372" s="209"/>
      <c r="B372" s="209"/>
      <c r="C372" s="209"/>
      <c r="D372" s="209"/>
      <c r="E372" s="209"/>
      <c r="F372" s="210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</row>
    <row r="373" customFormat="false" ht="15" hidden="false" customHeight="false" outlineLevel="0" collapsed="false">
      <c r="A373" s="209"/>
      <c r="B373" s="209"/>
      <c r="C373" s="209"/>
      <c r="D373" s="209"/>
      <c r="E373" s="209"/>
      <c r="F373" s="210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</row>
    <row r="374" customFormat="false" ht="15" hidden="false" customHeight="false" outlineLevel="0" collapsed="false">
      <c r="A374" s="209"/>
      <c r="B374" s="209"/>
      <c r="C374" s="209"/>
      <c r="D374" s="209"/>
      <c r="E374" s="209"/>
      <c r="F374" s="210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</row>
    <row r="375" customFormat="false" ht="15" hidden="false" customHeight="false" outlineLevel="0" collapsed="false">
      <c r="A375" s="209"/>
      <c r="B375" s="209"/>
      <c r="C375" s="209"/>
      <c r="D375" s="209"/>
      <c r="E375" s="209"/>
      <c r="F375" s="210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</row>
    <row r="376" customFormat="false" ht="15" hidden="false" customHeight="false" outlineLevel="0" collapsed="false">
      <c r="A376" s="209"/>
      <c r="B376" s="209"/>
      <c r="C376" s="209"/>
      <c r="D376" s="209"/>
      <c r="E376" s="209"/>
      <c r="F376" s="210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</row>
    <row r="377" customFormat="false" ht="15" hidden="false" customHeight="false" outlineLevel="0" collapsed="false">
      <c r="A377" s="209"/>
      <c r="B377" s="209"/>
      <c r="C377" s="209"/>
      <c r="D377" s="209"/>
      <c r="E377" s="209"/>
      <c r="F377" s="210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</row>
    <row r="378" customFormat="false" ht="15" hidden="false" customHeight="false" outlineLevel="0" collapsed="false">
      <c r="A378" s="209"/>
      <c r="B378" s="209"/>
      <c r="C378" s="209"/>
      <c r="D378" s="209"/>
      <c r="E378" s="209"/>
      <c r="F378" s="210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</row>
    <row r="379" customFormat="false" ht="15" hidden="false" customHeight="false" outlineLevel="0" collapsed="false">
      <c r="A379" s="209"/>
      <c r="B379" s="209"/>
      <c r="C379" s="209"/>
      <c r="D379" s="209"/>
      <c r="E379" s="209"/>
      <c r="F379" s="210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</row>
    <row r="380" customFormat="false" ht="15" hidden="false" customHeight="false" outlineLevel="0" collapsed="false">
      <c r="A380" s="209"/>
      <c r="B380" s="209"/>
      <c r="C380" s="209"/>
      <c r="D380" s="209"/>
      <c r="E380" s="209"/>
      <c r="F380" s="210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</row>
    <row r="381" customFormat="false" ht="15" hidden="false" customHeight="false" outlineLevel="0" collapsed="false">
      <c r="A381" s="209"/>
      <c r="B381" s="209"/>
      <c r="C381" s="209"/>
      <c r="D381" s="209"/>
      <c r="E381" s="209"/>
      <c r="F381" s="210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</row>
    <row r="382" customFormat="false" ht="15" hidden="false" customHeight="false" outlineLevel="0" collapsed="false">
      <c r="A382" s="209"/>
      <c r="B382" s="209"/>
      <c r="C382" s="209"/>
      <c r="D382" s="209"/>
      <c r="E382" s="209"/>
      <c r="F382" s="210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</row>
    <row r="383" customFormat="false" ht="15" hidden="false" customHeight="false" outlineLevel="0" collapsed="false">
      <c r="A383" s="209"/>
      <c r="B383" s="209"/>
      <c r="C383" s="209"/>
      <c r="D383" s="209"/>
      <c r="E383" s="209"/>
      <c r="F383" s="210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</row>
    <row r="384" customFormat="false" ht="15" hidden="false" customHeight="false" outlineLevel="0" collapsed="false">
      <c r="A384" s="209"/>
      <c r="B384" s="209"/>
      <c r="C384" s="209"/>
      <c r="D384" s="209"/>
      <c r="E384" s="209"/>
      <c r="F384" s="210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</row>
    <row r="385" customFormat="false" ht="15" hidden="false" customHeight="false" outlineLevel="0" collapsed="false">
      <c r="A385" s="209"/>
      <c r="B385" s="209"/>
      <c r="C385" s="209"/>
      <c r="D385" s="209"/>
      <c r="E385" s="209"/>
      <c r="F385" s="210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</row>
    <row r="386" customFormat="false" ht="15" hidden="false" customHeight="false" outlineLevel="0" collapsed="false">
      <c r="A386" s="209"/>
      <c r="B386" s="209"/>
      <c r="C386" s="209"/>
      <c r="D386" s="209"/>
      <c r="E386" s="209"/>
      <c r="F386" s="210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</row>
    <row r="387" customFormat="false" ht="15" hidden="false" customHeight="false" outlineLevel="0" collapsed="false">
      <c r="A387" s="209"/>
      <c r="B387" s="209"/>
      <c r="C387" s="209"/>
      <c r="D387" s="209"/>
      <c r="E387" s="209"/>
      <c r="F387" s="210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</row>
    <row r="388" customFormat="false" ht="15" hidden="false" customHeight="false" outlineLevel="0" collapsed="false">
      <c r="A388" s="209"/>
      <c r="B388" s="209"/>
      <c r="C388" s="209"/>
      <c r="D388" s="209"/>
      <c r="E388" s="209"/>
      <c r="F388" s="210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</row>
    <row r="389" customFormat="false" ht="15" hidden="false" customHeight="false" outlineLevel="0" collapsed="false">
      <c r="A389" s="209"/>
      <c r="B389" s="209"/>
      <c r="C389" s="209"/>
      <c r="D389" s="209"/>
      <c r="E389" s="209"/>
      <c r="F389" s="210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</row>
    <row r="390" customFormat="false" ht="15" hidden="false" customHeight="false" outlineLevel="0" collapsed="false">
      <c r="A390" s="209"/>
      <c r="B390" s="209"/>
      <c r="C390" s="209"/>
      <c r="D390" s="209"/>
      <c r="E390" s="209"/>
      <c r="F390" s="210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</row>
    <row r="391" customFormat="false" ht="15" hidden="false" customHeight="false" outlineLevel="0" collapsed="false">
      <c r="A391" s="209"/>
      <c r="B391" s="209"/>
      <c r="C391" s="209"/>
      <c r="D391" s="209"/>
      <c r="E391" s="209"/>
      <c r="F391" s="210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</row>
    <row r="392" customFormat="false" ht="15" hidden="false" customHeight="false" outlineLevel="0" collapsed="false">
      <c r="A392" s="209"/>
      <c r="B392" s="209"/>
      <c r="C392" s="209"/>
      <c r="D392" s="209"/>
      <c r="E392" s="209"/>
      <c r="F392" s="210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</row>
    <row r="393" customFormat="false" ht="15" hidden="false" customHeight="false" outlineLevel="0" collapsed="false">
      <c r="A393" s="209"/>
      <c r="B393" s="209"/>
      <c r="C393" s="209"/>
      <c r="D393" s="209"/>
      <c r="E393" s="209"/>
      <c r="F393" s="210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</row>
    <row r="394" customFormat="false" ht="15" hidden="false" customHeight="false" outlineLevel="0" collapsed="false">
      <c r="A394" s="209"/>
      <c r="B394" s="209"/>
      <c r="C394" s="209"/>
      <c r="D394" s="209"/>
      <c r="E394" s="209"/>
      <c r="F394" s="210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</row>
    <row r="395" customFormat="false" ht="15" hidden="false" customHeight="false" outlineLevel="0" collapsed="false">
      <c r="A395" s="209"/>
      <c r="B395" s="209"/>
      <c r="C395" s="209"/>
      <c r="D395" s="209"/>
      <c r="E395" s="209"/>
      <c r="F395" s="210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</row>
    <row r="396" customFormat="false" ht="15" hidden="false" customHeight="false" outlineLevel="0" collapsed="false">
      <c r="A396" s="209"/>
      <c r="B396" s="209"/>
      <c r="C396" s="209"/>
      <c r="D396" s="209"/>
      <c r="E396" s="209"/>
      <c r="F396" s="210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</row>
    <row r="397" customFormat="false" ht="15" hidden="false" customHeight="false" outlineLevel="0" collapsed="false">
      <c r="A397" s="209"/>
      <c r="B397" s="209"/>
      <c r="C397" s="209"/>
      <c r="D397" s="209"/>
      <c r="E397" s="209"/>
      <c r="F397" s="210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</row>
    <row r="398" customFormat="false" ht="15" hidden="false" customHeight="false" outlineLevel="0" collapsed="false">
      <c r="A398" s="209"/>
      <c r="B398" s="209"/>
      <c r="C398" s="209"/>
      <c r="D398" s="209"/>
      <c r="E398" s="209"/>
      <c r="F398" s="210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</row>
    <row r="399" customFormat="false" ht="15" hidden="false" customHeight="false" outlineLevel="0" collapsed="false">
      <c r="A399" s="209"/>
      <c r="B399" s="209"/>
      <c r="C399" s="209"/>
      <c r="D399" s="209"/>
      <c r="E399" s="209"/>
      <c r="F399" s="210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</row>
    <row r="400" customFormat="false" ht="15" hidden="false" customHeight="false" outlineLevel="0" collapsed="false">
      <c r="A400" s="209"/>
      <c r="B400" s="209"/>
      <c r="C400" s="209"/>
      <c r="D400" s="209"/>
      <c r="E400" s="209"/>
      <c r="F400" s="210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</row>
    <row r="401" customFormat="false" ht="15" hidden="false" customHeight="false" outlineLevel="0" collapsed="false">
      <c r="A401" s="209"/>
      <c r="B401" s="209"/>
      <c r="C401" s="209"/>
      <c r="D401" s="209"/>
      <c r="E401" s="209"/>
      <c r="F401" s="210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</row>
    <row r="402" customFormat="false" ht="15" hidden="false" customHeight="false" outlineLevel="0" collapsed="false">
      <c r="A402" s="209"/>
      <c r="B402" s="209"/>
      <c r="C402" s="209"/>
      <c r="D402" s="209"/>
      <c r="E402" s="209"/>
      <c r="F402" s="210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</row>
    <row r="403" customFormat="false" ht="15" hidden="false" customHeight="false" outlineLevel="0" collapsed="false">
      <c r="A403" s="209"/>
      <c r="B403" s="209"/>
      <c r="C403" s="209"/>
      <c r="D403" s="209"/>
      <c r="E403" s="209"/>
      <c r="F403" s="210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</row>
    <row r="404" customFormat="false" ht="15" hidden="false" customHeight="false" outlineLevel="0" collapsed="false">
      <c r="A404" s="209"/>
      <c r="B404" s="209"/>
      <c r="C404" s="209"/>
      <c r="D404" s="209"/>
      <c r="E404" s="209"/>
      <c r="F404" s="210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</row>
    <row r="405" customFormat="false" ht="15" hidden="false" customHeight="false" outlineLevel="0" collapsed="false">
      <c r="A405" s="209"/>
      <c r="B405" s="209"/>
      <c r="C405" s="209"/>
      <c r="D405" s="209"/>
      <c r="E405" s="209"/>
      <c r="F405" s="210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</row>
    <row r="406" customFormat="false" ht="15" hidden="false" customHeight="false" outlineLevel="0" collapsed="false">
      <c r="A406" s="209"/>
      <c r="B406" s="209"/>
      <c r="C406" s="209"/>
      <c r="D406" s="209"/>
      <c r="E406" s="209"/>
      <c r="F406" s="210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</row>
    <row r="407" customFormat="false" ht="15" hidden="false" customHeight="false" outlineLevel="0" collapsed="false">
      <c r="A407" s="209"/>
      <c r="B407" s="209"/>
      <c r="C407" s="209"/>
      <c r="D407" s="209"/>
      <c r="E407" s="209"/>
      <c r="F407" s="210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</row>
    <row r="408" customFormat="false" ht="15" hidden="false" customHeight="false" outlineLevel="0" collapsed="false">
      <c r="A408" s="209"/>
      <c r="B408" s="209"/>
      <c r="C408" s="209"/>
      <c r="D408" s="209"/>
      <c r="E408" s="209"/>
      <c r="F408" s="210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</row>
    <row r="409" customFormat="false" ht="15" hidden="false" customHeight="false" outlineLevel="0" collapsed="false">
      <c r="A409" s="209"/>
      <c r="B409" s="209"/>
      <c r="C409" s="209"/>
      <c r="D409" s="209"/>
      <c r="E409" s="209"/>
      <c r="F409" s="210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</row>
    <row r="410" customFormat="false" ht="15" hidden="false" customHeight="false" outlineLevel="0" collapsed="false">
      <c r="A410" s="209"/>
      <c r="B410" s="209"/>
      <c r="C410" s="209"/>
      <c r="D410" s="209"/>
      <c r="E410" s="209"/>
      <c r="F410" s="210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</row>
    <row r="411" customFormat="false" ht="15" hidden="false" customHeight="false" outlineLevel="0" collapsed="false">
      <c r="A411" s="209"/>
      <c r="B411" s="209"/>
      <c r="C411" s="209"/>
      <c r="D411" s="209"/>
      <c r="E411" s="209"/>
      <c r="F411" s="210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</row>
    <row r="412" customFormat="false" ht="15" hidden="false" customHeight="false" outlineLevel="0" collapsed="false">
      <c r="A412" s="209"/>
      <c r="B412" s="209"/>
      <c r="C412" s="209"/>
      <c r="D412" s="209"/>
      <c r="E412" s="209"/>
      <c r="F412" s="210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</row>
    <row r="413" customFormat="false" ht="15" hidden="false" customHeight="false" outlineLevel="0" collapsed="false">
      <c r="A413" s="209"/>
      <c r="B413" s="209"/>
      <c r="C413" s="209"/>
      <c r="D413" s="209"/>
      <c r="E413" s="209"/>
      <c r="F413" s="210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</row>
    <row r="414" customFormat="false" ht="15" hidden="false" customHeight="false" outlineLevel="0" collapsed="false">
      <c r="A414" s="209"/>
      <c r="B414" s="209"/>
      <c r="C414" s="209"/>
      <c r="D414" s="209"/>
      <c r="E414" s="209"/>
      <c r="F414" s="210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</row>
    <row r="415" customFormat="false" ht="15" hidden="false" customHeight="false" outlineLevel="0" collapsed="false">
      <c r="A415" s="209"/>
      <c r="B415" s="209"/>
      <c r="C415" s="209"/>
      <c r="D415" s="209"/>
      <c r="E415" s="209"/>
      <c r="F415" s="210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</row>
    <row r="416" customFormat="false" ht="15" hidden="false" customHeight="false" outlineLevel="0" collapsed="false">
      <c r="A416" s="209"/>
      <c r="B416" s="209"/>
      <c r="C416" s="209"/>
      <c r="D416" s="209"/>
      <c r="E416" s="209"/>
      <c r="F416" s="210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</row>
    <row r="417" customFormat="false" ht="15" hidden="false" customHeight="false" outlineLevel="0" collapsed="false">
      <c r="A417" s="209"/>
      <c r="B417" s="209"/>
      <c r="C417" s="209"/>
      <c r="D417" s="209"/>
      <c r="E417" s="209"/>
      <c r="F417" s="210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</row>
    <row r="418" customFormat="false" ht="15" hidden="false" customHeight="false" outlineLevel="0" collapsed="false">
      <c r="A418" s="209"/>
      <c r="B418" s="209"/>
      <c r="C418" s="209"/>
      <c r="D418" s="209"/>
      <c r="E418" s="209"/>
      <c r="F418" s="210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</row>
    <row r="419" customFormat="false" ht="15" hidden="false" customHeight="false" outlineLevel="0" collapsed="false">
      <c r="A419" s="209"/>
      <c r="B419" s="209"/>
      <c r="C419" s="209"/>
      <c r="D419" s="209"/>
      <c r="E419" s="209"/>
      <c r="F419" s="210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</row>
    <row r="420" customFormat="false" ht="15" hidden="false" customHeight="false" outlineLevel="0" collapsed="false">
      <c r="A420" s="209"/>
      <c r="B420" s="209"/>
      <c r="C420" s="209"/>
      <c r="D420" s="209"/>
      <c r="E420" s="209"/>
      <c r="F420" s="210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</row>
    <row r="421" customFormat="false" ht="15" hidden="false" customHeight="false" outlineLevel="0" collapsed="false">
      <c r="A421" s="209"/>
      <c r="B421" s="209"/>
      <c r="C421" s="209"/>
      <c r="D421" s="209"/>
      <c r="E421" s="209"/>
      <c r="F421" s="210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</row>
    <row r="422" customFormat="false" ht="15" hidden="false" customHeight="false" outlineLevel="0" collapsed="false">
      <c r="A422" s="209"/>
      <c r="B422" s="209"/>
      <c r="C422" s="209"/>
      <c r="D422" s="209"/>
      <c r="E422" s="209"/>
      <c r="F422" s="210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</row>
    <row r="423" customFormat="false" ht="15" hidden="false" customHeight="false" outlineLevel="0" collapsed="false">
      <c r="A423" s="209"/>
      <c r="B423" s="209"/>
      <c r="C423" s="209"/>
      <c r="D423" s="209"/>
      <c r="E423" s="209"/>
      <c r="F423" s="210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</row>
    <row r="424" customFormat="false" ht="15" hidden="false" customHeight="false" outlineLevel="0" collapsed="false">
      <c r="A424" s="209"/>
      <c r="B424" s="209"/>
      <c r="C424" s="209"/>
      <c r="D424" s="209"/>
      <c r="E424" s="209"/>
      <c r="F424" s="210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</row>
    <row r="425" customFormat="false" ht="15" hidden="false" customHeight="false" outlineLevel="0" collapsed="false">
      <c r="A425" s="209"/>
      <c r="B425" s="209"/>
      <c r="C425" s="209"/>
      <c r="D425" s="209"/>
      <c r="E425" s="209"/>
      <c r="F425" s="210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</row>
    <row r="426" customFormat="false" ht="15" hidden="false" customHeight="false" outlineLevel="0" collapsed="false">
      <c r="A426" s="209"/>
      <c r="B426" s="209"/>
      <c r="C426" s="209"/>
      <c r="D426" s="209"/>
      <c r="E426" s="209"/>
      <c r="F426" s="210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</row>
    <row r="427" customFormat="false" ht="15" hidden="false" customHeight="false" outlineLevel="0" collapsed="false">
      <c r="A427" s="209"/>
      <c r="B427" s="209"/>
      <c r="C427" s="209"/>
      <c r="D427" s="209"/>
      <c r="E427" s="209"/>
      <c r="F427" s="210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</row>
    <row r="428" customFormat="false" ht="15" hidden="false" customHeight="false" outlineLevel="0" collapsed="false">
      <c r="A428" s="209"/>
      <c r="B428" s="209"/>
      <c r="C428" s="209"/>
      <c r="D428" s="209"/>
      <c r="E428" s="209"/>
      <c r="F428" s="210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</row>
    <row r="429" customFormat="false" ht="15" hidden="false" customHeight="false" outlineLevel="0" collapsed="false">
      <c r="A429" s="209"/>
      <c r="B429" s="209"/>
      <c r="C429" s="209"/>
      <c r="D429" s="209"/>
      <c r="E429" s="209"/>
      <c r="F429" s="210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</row>
    <row r="430" customFormat="false" ht="15" hidden="false" customHeight="false" outlineLevel="0" collapsed="false">
      <c r="A430" s="209"/>
      <c r="B430" s="209"/>
      <c r="C430" s="209"/>
      <c r="D430" s="209"/>
      <c r="E430" s="209"/>
      <c r="F430" s="210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</row>
    <row r="431" customFormat="false" ht="15" hidden="false" customHeight="false" outlineLevel="0" collapsed="false">
      <c r="A431" s="209"/>
      <c r="B431" s="209"/>
      <c r="C431" s="209"/>
      <c r="D431" s="209"/>
      <c r="E431" s="209"/>
      <c r="F431" s="210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</row>
    <row r="432" customFormat="false" ht="15" hidden="false" customHeight="false" outlineLevel="0" collapsed="false">
      <c r="A432" s="209"/>
      <c r="B432" s="209"/>
      <c r="C432" s="209"/>
      <c r="D432" s="209"/>
      <c r="E432" s="209"/>
      <c r="F432" s="210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</row>
    <row r="433" customFormat="false" ht="15" hidden="false" customHeight="false" outlineLevel="0" collapsed="false">
      <c r="A433" s="209"/>
      <c r="B433" s="209"/>
      <c r="C433" s="209"/>
      <c r="D433" s="209"/>
      <c r="E433" s="209"/>
      <c r="F433" s="210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</row>
    <row r="434" customFormat="false" ht="15" hidden="false" customHeight="false" outlineLevel="0" collapsed="false">
      <c r="A434" s="209"/>
      <c r="B434" s="209"/>
      <c r="C434" s="209"/>
      <c r="D434" s="209"/>
      <c r="E434" s="209"/>
      <c r="F434" s="210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</row>
    <row r="435" customFormat="false" ht="15" hidden="false" customHeight="false" outlineLevel="0" collapsed="false">
      <c r="A435" s="209"/>
      <c r="B435" s="209"/>
      <c r="C435" s="209"/>
      <c r="D435" s="209"/>
      <c r="E435" s="209"/>
      <c r="F435" s="210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</row>
    <row r="436" customFormat="false" ht="15" hidden="false" customHeight="false" outlineLevel="0" collapsed="false">
      <c r="A436" s="209"/>
      <c r="B436" s="209"/>
      <c r="C436" s="209"/>
      <c r="D436" s="209"/>
      <c r="E436" s="209"/>
      <c r="F436" s="210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</row>
    <row r="437" customFormat="false" ht="15" hidden="false" customHeight="false" outlineLevel="0" collapsed="false">
      <c r="A437" s="209"/>
      <c r="B437" s="209"/>
      <c r="C437" s="209"/>
      <c r="D437" s="209"/>
      <c r="E437" s="209"/>
      <c r="F437" s="210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</row>
    <row r="438" customFormat="false" ht="15" hidden="false" customHeight="false" outlineLevel="0" collapsed="false">
      <c r="A438" s="209"/>
      <c r="B438" s="209"/>
      <c r="C438" s="209"/>
      <c r="D438" s="209"/>
      <c r="E438" s="209"/>
      <c r="F438" s="210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</row>
    <row r="439" customFormat="false" ht="15" hidden="false" customHeight="false" outlineLevel="0" collapsed="false">
      <c r="A439" s="209"/>
      <c r="B439" s="209"/>
      <c r="C439" s="209"/>
      <c r="D439" s="209"/>
      <c r="E439" s="209"/>
      <c r="F439" s="210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</row>
    <row r="440" customFormat="false" ht="15" hidden="false" customHeight="false" outlineLevel="0" collapsed="false">
      <c r="A440" s="209"/>
      <c r="B440" s="209"/>
      <c r="C440" s="209"/>
      <c r="D440" s="209"/>
      <c r="E440" s="209"/>
      <c r="F440" s="210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</row>
    <row r="441" customFormat="false" ht="15" hidden="false" customHeight="false" outlineLevel="0" collapsed="false">
      <c r="A441" s="209"/>
      <c r="B441" s="209"/>
      <c r="C441" s="209"/>
      <c r="D441" s="209"/>
      <c r="E441" s="209"/>
      <c r="F441" s="210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</row>
    <row r="442" customFormat="false" ht="15" hidden="false" customHeight="false" outlineLevel="0" collapsed="false">
      <c r="A442" s="209"/>
      <c r="B442" s="209"/>
      <c r="C442" s="209"/>
      <c r="D442" s="209"/>
      <c r="E442" s="209"/>
      <c r="F442" s="210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</row>
    <row r="443" customFormat="false" ht="15" hidden="false" customHeight="false" outlineLevel="0" collapsed="false">
      <c r="A443" s="209"/>
      <c r="B443" s="209"/>
      <c r="C443" s="209"/>
      <c r="D443" s="209"/>
      <c r="E443" s="209"/>
      <c r="F443" s="210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</row>
    <row r="444" customFormat="false" ht="15" hidden="false" customHeight="false" outlineLevel="0" collapsed="false">
      <c r="A444" s="209"/>
      <c r="B444" s="209"/>
      <c r="C444" s="209"/>
      <c r="D444" s="209"/>
      <c r="E444" s="209"/>
      <c r="F444" s="210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</row>
    <row r="445" customFormat="false" ht="15" hidden="false" customHeight="false" outlineLevel="0" collapsed="false">
      <c r="A445" s="209"/>
      <c r="B445" s="209"/>
      <c r="C445" s="209"/>
      <c r="D445" s="209"/>
      <c r="E445" s="209"/>
      <c r="F445" s="210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</row>
    <row r="446" customFormat="false" ht="15" hidden="false" customHeight="false" outlineLevel="0" collapsed="false">
      <c r="A446" s="209"/>
      <c r="B446" s="209"/>
      <c r="C446" s="209"/>
      <c r="D446" s="209"/>
      <c r="E446" s="209"/>
      <c r="F446" s="210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</row>
    <row r="447" customFormat="false" ht="15" hidden="false" customHeight="false" outlineLevel="0" collapsed="false">
      <c r="A447" s="209"/>
      <c r="B447" s="209"/>
      <c r="C447" s="209"/>
      <c r="D447" s="209"/>
      <c r="E447" s="209"/>
      <c r="F447" s="210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</row>
    <row r="448" customFormat="false" ht="15" hidden="false" customHeight="false" outlineLevel="0" collapsed="false">
      <c r="A448" s="209"/>
      <c r="B448" s="209"/>
      <c r="C448" s="209"/>
      <c r="D448" s="209"/>
      <c r="E448" s="209"/>
      <c r="F448" s="210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</row>
    <row r="449" customFormat="false" ht="15" hidden="false" customHeight="false" outlineLevel="0" collapsed="false">
      <c r="A449" s="209"/>
      <c r="B449" s="209"/>
      <c r="C449" s="209"/>
      <c r="D449" s="209"/>
      <c r="E449" s="209"/>
      <c r="F449" s="210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</row>
    <row r="450" customFormat="false" ht="15" hidden="false" customHeight="false" outlineLevel="0" collapsed="false">
      <c r="A450" s="209"/>
      <c r="B450" s="209"/>
      <c r="C450" s="209"/>
      <c r="D450" s="209"/>
      <c r="E450" s="209"/>
      <c r="F450" s="210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</row>
    <row r="451" customFormat="false" ht="15" hidden="false" customHeight="false" outlineLevel="0" collapsed="false">
      <c r="A451" s="209"/>
      <c r="B451" s="209"/>
      <c r="C451" s="209"/>
      <c r="D451" s="209"/>
      <c r="E451" s="209"/>
      <c r="F451" s="210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</row>
    <row r="452" customFormat="false" ht="15" hidden="false" customHeight="false" outlineLevel="0" collapsed="false">
      <c r="A452" s="209"/>
      <c r="B452" s="209"/>
      <c r="C452" s="209"/>
      <c r="D452" s="209"/>
      <c r="E452" s="209"/>
      <c r="F452" s="210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</row>
    <row r="453" customFormat="false" ht="15" hidden="false" customHeight="false" outlineLevel="0" collapsed="false">
      <c r="A453" s="209"/>
      <c r="B453" s="209"/>
      <c r="C453" s="209"/>
      <c r="D453" s="209"/>
      <c r="E453" s="209"/>
      <c r="F453" s="210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</row>
    <row r="454" customFormat="false" ht="15" hidden="false" customHeight="false" outlineLevel="0" collapsed="false">
      <c r="A454" s="209"/>
      <c r="B454" s="209"/>
      <c r="C454" s="209"/>
      <c r="D454" s="209"/>
      <c r="E454" s="209"/>
      <c r="F454" s="210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</row>
    <row r="455" customFormat="false" ht="15" hidden="false" customHeight="false" outlineLevel="0" collapsed="false">
      <c r="A455" s="209"/>
      <c r="B455" s="209"/>
      <c r="C455" s="209"/>
      <c r="D455" s="209"/>
      <c r="E455" s="209"/>
      <c r="F455" s="210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</row>
    <row r="456" customFormat="false" ht="15" hidden="false" customHeight="false" outlineLevel="0" collapsed="false">
      <c r="A456" s="209"/>
      <c r="B456" s="209"/>
      <c r="C456" s="209"/>
      <c r="D456" s="209"/>
      <c r="E456" s="209"/>
      <c r="F456" s="210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</row>
    <row r="457" customFormat="false" ht="15" hidden="false" customHeight="false" outlineLevel="0" collapsed="false">
      <c r="A457" s="209"/>
      <c r="B457" s="209"/>
      <c r="C457" s="209"/>
      <c r="D457" s="209"/>
      <c r="E457" s="209"/>
      <c r="F457" s="210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</row>
    <row r="458" customFormat="false" ht="15" hidden="false" customHeight="false" outlineLevel="0" collapsed="false">
      <c r="A458" s="209"/>
      <c r="B458" s="209"/>
      <c r="C458" s="209"/>
      <c r="D458" s="209"/>
      <c r="E458" s="209"/>
      <c r="F458" s="210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</row>
    <row r="459" customFormat="false" ht="15" hidden="false" customHeight="false" outlineLevel="0" collapsed="false">
      <c r="A459" s="209"/>
      <c r="B459" s="209"/>
      <c r="C459" s="209"/>
      <c r="D459" s="209"/>
      <c r="E459" s="209"/>
      <c r="F459" s="210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</row>
    <row r="460" customFormat="false" ht="15" hidden="false" customHeight="false" outlineLevel="0" collapsed="false">
      <c r="A460" s="209"/>
      <c r="B460" s="209"/>
      <c r="C460" s="209"/>
      <c r="D460" s="209"/>
      <c r="E460" s="209"/>
      <c r="F460" s="210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</row>
    <row r="461" customFormat="false" ht="15" hidden="false" customHeight="false" outlineLevel="0" collapsed="false">
      <c r="A461" s="209"/>
      <c r="B461" s="209"/>
      <c r="C461" s="209"/>
      <c r="D461" s="209"/>
      <c r="E461" s="209"/>
      <c r="F461" s="210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</row>
    <row r="462" customFormat="false" ht="15" hidden="false" customHeight="false" outlineLevel="0" collapsed="false">
      <c r="A462" s="209"/>
      <c r="B462" s="209"/>
      <c r="C462" s="209"/>
      <c r="D462" s="209"/>
      <c r="E462" s="209"/>
      <c r="F462" s="210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</row>
    <row r="463" customFormat="false" ht="15" hidden="false" customHeight="false" outlineLevel="0" collapsed="false">
      <c r="A463" s="209"/>
      <c r="B463" s="209"/>
      <c r="C463" s="209"/>
      <c r="D463" s="209"/>
      <c r="E463" s="209"/>
      <c r="F463" s="210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</row>
    <row r="464" customFormat="false" ht="15" hidden="false" customHeight="false" outlineLevel="0" collapsed="false">
      <c r="A464" s="209"/>
      <c r="B464" s="209"/>
      <c r="C464" s="209"/>
      <c r="D464" s="209"/>
      <c r="E464" s="209"/>
      <c r="F464" s="210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</row>
    <row r="465" customFormat="false" ht="15" hidden="false" customHeight="false" outlineLevel="0" collapsed="false">
      <c r="A465" s="209"/>
      <c r="B465" s="209"/>
      <c r="C465" s="209"/>
      <c r="D465" s="209"/>
      <c r="E465" s="209"/>
      <c r="F465" s="210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</row>
    <row r="466" customFormat="false" ht="15" hidden="false" customHeight="false" outlineLevel="0" collapsed="false">
      <c r="A466" s="209"/>
      <c r="B466" s="209"/>
      <c r="C466" s="209"/>
      <c r="D466" s="209"/>
      <c r="E466" s="209"/>
      <c r="F466" s="210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</row>
    <row r="467" customFormat="false" ht="15" hidden="false" customHeight="false" outlineLevel="0" collapsed="false">
      <c r="A467" s="209"/>
      <c r="B467" s="209"/>
      <c r="C467" s="209"/>
      <c r="D467" s="209"/>
      <c r="E467" s="209"/>
      <c r="F467" s="210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</row>
    <row r="468" customFormat="false" ht="15" hidden="false" customHeight="false" outlineLevel="0" collapsed="false">
      <c r="A468" s="209"/>
      <c r="B468" s="209"/>
      <c r="C468" s="209"/>
      <c r="D468" s="209"/>
      <c r="E468" s="209"/>
      <c r="F468" s="210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</row>
    <row r="469" customFormat="false" ht="15" hidden="false" customHeight="false" outlineLevel="0" collapsed="false">
      <c r="A469" s="209"/>
      <c r="B469" s="209"/>
      <c r="C469" s="209"/>
      <c r="D469" s="209"/>
      <c r="E469" s="209"/>
      <c r="F469" s="210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</row>
    <row r="470" customFormat="false" ht="15" hidden="false" customHeight="false" outlineLevel="0" collapsed="false">
      <c r="A470" s="209"/>
      <c r="B470" s="209"/>
      <c r="C470" s="209"/>
      <c r="D470" s="209"/>
      <c r="E470" s="209"/>
      <c r="F470" s="210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</row>
    <row r="471" customFormat="false" ht="15" hidden="false" customHeight="false" outlineLevel="0" collapsed="false">
      <c r="A471" s="209"/>
      <c r="B471" s="209"/>
      <c r="C471" s="209"/>
      <c r="D471" s="209"/>
      <c r="E471" s="209"/>
      <c r="F471" s="210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</row>
    <row r="472" customFormat="false" ht="15" hidden="false" customHeight="false" outlineLevel="0" collapsed="false">
      <c r="A472" s="209"/>
      <c r="B472" s="209"/>
      <c r="C472" s="209"/>
      <c r="D472" s="209"/>
      <c r="E472" s="209"/>
      <c r="F472" s="210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</row>
    <row r="473" customFormat="false" ht="15" hidden="false" customHeight="false" outlineLevel="0" collapsed="false">
      <c r="A473" s="209"/>
      <c r="B473" s="209"/>
      <c r="C473" s="209"/>
      <c r="D473" s="209"/>
      <c r="E473" s="209"/>
      <c r="F473" s="210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</row>
    <row r="474" customFormat="false" ht="15" hidden="false" customHeight="false" outlineLevel="0" collapsed="false">
      <c r="A474" s="209"/>
      <c r="B474" s="209"/>
      <c r="C474" s="209"/>
      <c r="D474" s="209"/>
      <c r="E474" s="209"/>
      <c r="F474" s="210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</row>
    <row r="475" customFormat="false" ht="15" hidden="false" customHeight="false" outlineLevel="0" collapsed="false">
      <c r="A475" s="209"/>
      <c r="B475" s="209"/>
      <c r="C475" s="209"/>
      <c r="D475" s="209"/>
      <c r="E475" s="209"/>
      <c r="F475" s="210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</row>
    <row r="476" customFormat="false" ht="15" hidden="false" customHeight="false" outlineLevel="0" collapsed="false">
      <c r="A476" s="209"/>
      <c r="B476" s="209"/>
      <c r="C476" s="209"/>
      <c r="D476" s="209"/>
      <c r="E476" s="209"/>
      <c r="F476" s="210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</row>
    <row r="477" customFormat="false" ht="15" hidden="false" customHeight="false" outlineLevel="0" collapsed="false">
      <c r="A477" s="209"/>
      <c r="B477" s="209"/>
      <c r="C477" s="209"/>
      <c r="D477" s="209"/>
      <c r="E477" s="209"/>
      <c r="F477" s="210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</row>
    <row r="478" customFormat="false" ht="15" hidden="false" customHeight="false" outlineLevel="0" collapsed="false">
      <c r="A478" s="209"/>
      <c r="B478" s="209"/>
      <c r="C478" s="209"/>
      <c r="D478" s="209"/>
      <c r="E478" s="209"/>
      <c r="F478" s="210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</row>
    <row r="479" customFormat="false" ht="15" hidden="false" customHeight="false" outlineLevel="0" collapsed="false">
      <c r="A479" s="209"/>
      <c r="B479" s="209"/>
      <c r="C479" s="209"/>
      <c r="D479" s="209"/>
      <c r="E479" s="209"/>
      <c r="F479" s="210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</row>
    <row r="480" customFormat="false" ht="15" hidden="false" customHeight="false" outlineLevel="0" collapsed="false">
      <c r="A480" s="209"/>
      <c r="B480" s="209"/>
      <c r="C480" s="209"/>
      <c r="D480" s="209"/>
      <c r="E480" s="209"/>
      <c r="F480" s="210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</row>
    <row r="481" customFormat="false" ht="15" hidden="false" customHeight="false" outlineLevel="0" collapsed="false">
      <c r="A481" s="209"/>
      <c r="B481" s="209"/>
      <c r="C481" s="209"/>
      <c r="D481" s="209"/>
      <c r="E481" s="209"/>
      <c r="F481" s="210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</row>
    <row r="482" customFormat="false" ht="15" hidden="false" customHeight="false" outlineLevel="0" collapsed="false">
      <c r="A482" s="209"/>
      <c r="B482" s="209"/>
      <c r="C482" s="209"/>
      <c r="D482" s="209"/>
      <c r="E482" s="209"/>
      <c r="F482" s="210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</row>
    <row r="483" customFormat="false" ht="15" hidden="false" customHeight="false" outlineLevel="0" collapsed="false">
      <c r="A483" s="209"/>
      <c r="B483" s="209"/>
      <c r="C483" s="209"/>
      <c r="D483" s="209"/>
      <c r="E483" s="209"/>
      <c r="F483" s="210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</row>
    <row r="484" customFormat="false" ht="15" hidden="false" customHeight="false" outlineLevel="0" collapsed="false">
      <c r="A484" s="209"/>
      <c r="B484" s="209"/>
      <c r="C484" s="209"/>
      <c r="D484" s="209"/>
      <c r="E484" s="209"/>
      <c r="F484" s="210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</row>
    <row r="485" customFormat="false" ht="15" hidden="false" customHeight="false" outlineLevel="0" collapsed="false">
      <c r="A485" s="209"/>
      <c r="B485" s="209"/>
      <c r="C485" s="209"/>
      <c r="D485" s="209"/>
      <c r="E485" s="209"/>
      <c r="F485" s="210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</row>
    <row r="486" customFormat="false" ht="15" hidden="false" customHeight="false" outlineLevel="0" collapsed="false">
      <c r="A486" s="209"/>
      <c r="B486" s="209"/>
      <c r="C486" s="209"/>
      <c r="D486" s="209"/>
      <c r="E486" s="209"/>
      <c r="F486" s="210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</row>
    <row r="487" customFormat="false" ht="15" hidden="false" customHeight="false" outlineLevel="0" collapsed="false">
      <c r="A487" s="209"/>
      <c r="B487" s="209"/>
      <c r="C487" s="209"/>
      <c r="D487" s="209"/>
      <c r="E487" s="209"/>
      <c r="F487" s="210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</row>
    <row r="488" customFormat="false" ht="15" hidden="false" customHeight="false" outlineLevel="0" collapsed="false">
      <c r="A488" s="209"/>
      <c r="B488" s="209"/>
      <c r="C488" s="209"/>
      <c r="D488" s="209"/>
      <c r="E488" s="209"/>
      <c r="F488" s="210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</row>
    <row r="489" customFormat="false" ht="15" hidden="false" customHeight="false" outlineLevel="0" collapsed="false">
      <c r="A489" s="209"/>
      <c r="B489" s="209"/>
      <c r="C489" s="209"/>
      <c r="D489" s="209"/>
      <c r="E489" s="209"/>
      <c r="F489" s="210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</row>
    <row r="490" customFormat="false" ht="15" hidden="false" customHeight="false" outlineLevel="0" collapsed="false">
      <c r="A490" s="209"/>
      <c r="B490" s="209"/>
      <c r="C490" s="209"/>
      <c r="D490" s="209"/>
      <c r="E490" s="209"/>
      <c r="F490" s="210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</row>
    <row r="491" customFormat="false" ht="15" hidden="false" customHeight="false" outlineLevel="0" collapsed="false">
      <c r="A491" s="209"/>
      <c r="B491" s="209"/>
      <c r="C491" s="209"/>
      <c r="D491" s="209"/>
      <c r="E491" s="209"/>
      <c r="F491" s="210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</row>
    <row r="492" customFormat="false" ht="15" hidden="false" customHeight="false" outlineLevel="0" collapsed="false">
      <c r="A492" s="209"/>
      <c r="B492" s="209"/>
      <c r="C492" s="209"/>
      <c r="D492" s="209"/>
      <c r="E492" s="209"/>
      <c r="F492" s="210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</row>
    <row r="493" customFormat="false" ht="15" hidden="false" customHeight="false" outlineLevel="0" collapsed="false">
      <c r="A493" s="209"/>
      <c r="B493" s="209"/>
      <c r="C493" s="209"/>
      <c r="D493" s="209"/>
      <c r="E493" s="209"/>
      <c r="F493" s="210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</row>
    <row r="494" customFormat="false" ht="15" hidden="false" customHeight="false" outlineLevel="0" collapsed="false">
      <c r="A494" s="209"/>
      <c r="B494" s="209"/>
      <c r="C494" s="209"/>
      <c r="D494" s="209"/>
      <c r="E494" s="209"/>
      <c r="F494" s="210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</row>
    <row r="495" customFormat="false" ht="15" hidden="false" customHeight="false" outlineLevel="0" collapsed="false">
      <c r="A495" s="209"/>
      <c r="B495" s="209"/>
      <c r="C495" s="209"/>
      <c r="D495" s="209"/>
      <c r="E495" s="209"/>
      <c r="F495" s="210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</row>
    <row r="496" customFormat="false" ht="15" hidden="false" customHeight="false" outlineLevel="0" collapsed="false">
      <c r="A496" s="209"/>
      <c r="B496" s="209"/>
      <c r="C496" s="209"/>
      <c r="D496" s="209"/>
      <c r="E496" s="209"/>
      <c r="F496" s="210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</row>
    <row r="497" customFormat="false" ht="15" hidden="false" customHeight="false" outlineLevel="0" collapsed="false">
      <c r="A497" s="209"/>
      <c r="B497" s="209"/>
      <c r="C497" s="209"/>
      <c r="D497" s="209"/>
      <c r="E497" s="209"/>
      <c r="F497" s="210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</row>
    <row r="498" customFormat="false" ht="15" hidden="false" customHeight="false" outlineLevel="0" collapsed="false">
      <c r="A498" s="209"/>
      <c r="B498" s="209"/>
      <c r="C498" s="209"/>
      <c r="D498" s="209"/>
      <c r="E498" s="209"/>
      <c r="F498" s="210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</row>
    <row r="499" customFormat="false" ht="15" hidden="false" customHeight="false" outlineLevel="0" collapsed="false">
      <c r="A499" s="209"/>
      <c r="B499" s="209"/>
      <c r="C499" s="209"/>
      <c r="D499" s="209"/>
      <c r="E499" s="209"/>
      <c r="F499" s="210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</row>
    <row r="500" customFormat="false" ht="15" hidden="false" customHeight="false" outlineLevel="0" collapsed="false">
      <c r="A500" s="209"/>
      <c r="B500" s="209"/>
      <c r="C500" s="209"/>
      <c r="D500" s="209"/>
      <c r="E500" s="209"/>
      <c r="F500" s="210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</row>
    <row r="501" customFormat="false" ht="15" hidden="false" customHeight="false" outlineLevel="0" collapsed="false">
      <c r="A501" s="209"/>
      <c r="B501" s="209"/>
      <c r="C501" s="209"/>
      <c r="D501" s="209"/>
      <c r="E501" s="209"/>
      <c r="F501" s="210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</row>
    <row r="502" customFormat="false" ht="15" hidden="false" customHeight="false" outlineLevel="0" collapsed="false">
      <c r="A502" s="209"/>
      <c r="B502" s="209"/>
      <c r="C502" s="209"/>
      <c r="D502" s="209"/>
      <c r="E502" s="209"/>
      <c r="F502" s="210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</row>
    <row r="503" customFormat="false" ht="15" hidden="false" customHeight="false" outlineLevel="0" collapsed="false">
      <c r="A503" s="209"/>
      <c r="B503" s="209"/>
      <c r="C503" s="209"/>
      <c r="D503" s="209"/>
      <c r="E503" s="209"/>
      <c r="F503" s="210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</row>
    <row r="504" customFormat="false" ht="15" hidden="false" customHeight="false" outlineLevel="0" collapsed="false">
      <c r="A504" s="209"/>
      <c r="B504" s="209"/>
      <c r="C504" s="209"/>
      <c r="D504" s="209"/>
      <c r="E504" s="209"/>
      <c r="F504" s="210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</row>
    <row r="505" customFormat="false" ht="15" hidden="false" customHeight="false" outlineLevel="0" collapsed="false">
      <c r="A505" s="209"/>
      <c r="B505" s="209"/>
      <c r="C505" s="209"/>
      <c r="D505" s="209"/>
      <c r="E505" s="209"/>
      <c r="F505" s="210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</row>
    <row r="506" customFormat="false" ht="15" hidden="false" customHeight="false" outlineLevel="0" collapsed="false">
      <c r="A506" s="209"/>
      <c r="B506" s="209"/>
      <c r="C506" s="209"/>
      <c r="D506" s="209"/>
      <c r="E506" s="209"/>
      <c r="F506" s="210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</row>
    <row r="507" customFormat="false" ht="15" hidden="false" customHeight="false" outlineLevel="0" collapsed="false">
      <c r="A507" s="209"/>
      <c r="B507" s="209"/>
      <c r="C507" s="209"/>
      <c r="D507" s="209"/>
      <c r="E507" s="209"/>
      <c r="F507" s="210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</row>
    <row r="508" customFormat="false" ht="15" hidden="false" customHeight="false" outlineLevel="0" collapsed="false">
      <c r="A508" s="209"/>
      <c r="B508" s="209"/>
      <c r="C508" s="209"/>
      <c r="D508" s="209"/>
      <c r="E508" s="209"/>
      <c r="F508" s="210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</row>
    <row r="509" customFormat="false" ht="15" hidden="false" customHeight="false" outlineLevel="0" collapsed="false">
      <c r="A509" s="209"/>
      <c r="B509" s="209"/>
      <c r="C509" s="209"/>
      <c r="D509" s="209"/>
      <c r="E509" s="209"/>
      <c r="F509" s="210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</row>
    <row r="510" customFormat="false" ht="15" hidden="false" customHeight="false" outlineLevel="0" collapsed="false">
      <c r="A510" s="209"/>
      <c r="B510" s="209"/>
      <c r="C510" s="209"/>
      <c r="D510" s="209"/>
      <c r="E510" s="209"/>
      <c r="F510" s="210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</row>
    <row r="511" customFormat="false" ht="15" hidden="false" customHeight="false" outlineLevel="0" collapsed="false">
      <c r="A511" s="209"/>
      <c r="B511" s="209"/>
      <c r="C511" s="209"/>
      <c r="D511" s="209"/>
      <c r="E511" s="209"/>
      <c r="F511" s="210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</row>
    <row r="512" customFormat="false" ht="15" hidden="false" customHeight="false" outlineLevel="0" collapsed="false">
      <c r="A512" s="209"/>
      <c r="B512" s="209"/>
      <c r="C512" s="209"/>
      <c r="D512" s="209"/>
      <c r="E512" s="209"/>
      <c r="F512" s="210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</row>
    <row r="513" customFormat="false" ht="15" hidden="false" customHeight="false" outlineLevel="0" collapsed="false">
      <c r="A513" s="209"/>
      <c r="B513" s="209"/>
      <c r="C513" s="209"/>
      <c r="D513" s="209"/>
      <c r="E513" s="209"/>
      <c r="F513" s="210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</row>
    <row r="514" customFormat="false" ht="15" hidden="false" customHeight="false" outlineLevel="0" collapsed="false">
      <c r="A514" s="209"/>
      <c r="B514" s="209"/>
      <c r="C514" s="209"/>
      <c r="D514" s="209"/>
      <c r="E514" s="209"/>
      <c r="F514" s="210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</row>
    <row r="515" customFormat="false" ht="15" hidden="false" customHeight="false" outlineLevel="0" collapsed="false">
      <c r="A515" s="209"/>
      <c r="B515" s="209"/>
      <c r="C515" s="209"/>
      <c r="D515" s="209"/>
      <c r="E515" s="209"/>
      <c r="F515" s="210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</row>
    <row r="516" customFormat="false" ht="15" hidden="false" customHeight="false" outlineLevel="0" collapsed="false">
      <c r="A516" s="209"/>
      <c r="B516" s="209"/>
      <c r="C516" s="209"/>
      <c r="D516" s="209"/>
      <c r="E516" s="209"/>
      <c r="F516" s="210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</row>
    <row r="517" customFormat="false" ht="15" hidden="false" customHeight="false" outlineLevel="0" collapsed="false">
      <c r="A517" s="209"/>
      <c r="B517" s="209"/>
      <c r="C517" s="209"/>
      <c r="D517" s="209"/>
      <c r="E517" s="209"/>
      <c r="F517" s="210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</row>
    <row r="518" customFormat="false" ht="15" hidden="false" customHeight="false" outlineLevel="0" collapsed="false">
      <c r="A518" s="209"/>
      <c r="B518" s="209"/>
      <c r="C518" s="209"/>
      <c r="D518" s="209"/>
      <c r="E518" s="209"/>
      <c r="F518" s="210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</row>
    <row r="519" customFormat="false" ht="15" hidden="false" customHeight="false" outlineLevel="0" collapsed="false">
      <c r="A519" s="209"/>
      <c r="B519" s="209"/>
      <c r="C519" s="209"/>
      <c r="D519" s="209"/>
      <c r="E519" s="209"/>
      <c r="F519" s="210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</row>
    <row r="520" customFormat="false" ht="15" hidden="false" customHeight="false" outlineLevel="0" collapsed="false">
      <c r="A520" s="209"/>
      <c r="B520" s="209"/>
      <c r="C520" s="209"/>
      <c r="D520" s="209"/>
      <c r="E520" s="209"/>
      <c r="F520" s="210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</row>
    <row r="521" customFormat="false" ht="15" hidden="false" customHeight="false" outlineLevel="0" collapsed="false">
      <c r="A521" s="209"/>
      <c r="B521" s="209"/>
      <c r="C521" s="209"/>
      <c r="D521" s="209"/>
      <c r="E521" s="209"/>
      <c r="F521" s="210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</row>
    <row r="522" customFormat="false" ht="15" hidden="false" customHeight="false" outlineLevel="0" collapsed="false">
      <c r="A522" s="209"/>
      <c r="B522" s="209"/>
      <c r="C522" s="209"/>
      <c r="D522" s="209"/>
      <c r="E522" s="209"/>
      <c r="F522" s="210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</row>
    <row r="523" customFormat="false" ht="15" hidden="false" customHeight="false" outlineLevel="0" collapsed="false">
      <c r="A523" s="209"/>
      <c r="B523" s="209"/>
      <c r="C523" s="209"/>
      <c r="D523" s="209"/>
      <c r="E523" s="209"/>
      <c r="F523" s="210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</row>
    <row r="524" customFormat="false" ht="15" hidden="false" customHeight="false" outlineLevel="0" collapsed="false">
      <c r="A524" s="209"/>
      <c r="B524" s="209"/>
      <c r="C524" s="209"/>
      <c r="D524" s="209"/>
      <c r="E524" s="209"/>
      <c r="F524" s="210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</row>
    <row r="525" customFormat="false" ht="15" hidden="false" customHeight="false" outlineLevel="0" collapsed="false">
      <c r="A525" s="209"/>
      <c r="B525" s="209"/>
      <c r="C525" s="209"/>
      <c r="D525" s="209"/>
      <c r="E525" s="209"/>
      <c r="F525" s="210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</row>
    <row r="526" customFormat="false" ht="15" hidden="false" customHeight="false" outlineLevel="0" collapsed="false">
      <c r="A526" s="209"/>
      <c r="B526" s="209"/>
      <c r="C526" s="209"/>
      <c r="D526" s="209"/>
      <c r="E526" s="209"/>
      <c r="F526" s="210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</row>
    <row r="527" customFormat="false" ht="15" hidden="false" customHeight="false" outlineLevel="0" collapsed="false">
      <c r="A527" s="209"/>
      <c r="B527" s="209"/>
      <c r="C527" s="209"/>
      <c r="D527" s="209"/>
      <c r="E527" s="209"/>
      <c r="F527" s="210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</row>
    <row r="528" customFormat="false" ht="15" hidden="false" customHeight="false" outlineLevel="0" collapsed="false">
      <c r="A528" s="209"/>
      <c r="B528" s="209"/>
      <c r="C528" s="209"/>
      <c r="D528" s="209"/>
      <c r="E528" s="209"/>
      <c r="F528" s="210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</row>
    <row r="529" customFormat="false" ht="15" hidden="false" customHeight="false" outlineLevel="0" collapsed="false">
      <c r="A529" s="209"/>
      <c r="B529" s="209"/>
      <c r="C529" s="209"/>
      <c r="D529" s="209"/>
      <c r="E529" s="209"/>
      <c r="F529" s="210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</row>
    <row r="530" customFormat="false" ht="15" hidden="false" customHeight="false" outlineLevel="0" collapsed="false">
      <c r="A530" s="209"/>
      <c r="B530" s="209"/>
      <c r="C530" s="209"/>
      <c r="D530" s="209"/>
      <c r="E530" s="209"/>
      <c r="F530" s="210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</row>
    <row r="531" customFormat="false" ht="15" hidden="false" customHeight="false" outlineLevel="0" collapsed="false">
      <c r="A531" s="209"/>
      <c r="B531" s="209"/>
      <c r="C531" s="209"/>
      <c r="D531" s="209"/>
      <c r="E531" s="209"/>
      <c r="F531" s="210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</row>
    <row r="532" customFormat="false" ht="15" hidden="false" customHeight="false" outlineLevel="0" collapsed="false">
      <c r="A532" s="209"/>
      <c r="B532" s="209"/>
      <c r="C532" s="209"/>
      <c r="D532" s="209"/>
      <c r="E532" s="209"/>
      <c r="F532" s="210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</row>
    <row r="533" customFormat="false" ht="15" hidden="false" customHeight="false" outlineLevel="0" collapsed="false">
      <c r="A533" s="209"/>
      <c r="B533" s="209"/>
      <c r="C533" s="209"/>
      <c r="D533" s="209"/>
      <c r="E533" s="209"/>
      <c r="F533" s="210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</row>
    <row r="534" customFormat="false" ht="15" hidden="false" customHeight="false" outlineLevel="0" collapsed="false">
      <c r="A534" s="209"/>
      <c r="B534" s="209"/>
      <c r="C534" s="209"/>
      <c r="D534" s="209"/>
      <c r="E534" s="209"/>
      <c r="F534" s="210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</row>
    <row r="535" customFormat="false" ht="15" hidden="false" customHeight="false" outlineLevel="0" collapsed="false">
      <c r="A535" s="209"/>
      <c r="B535" s="209"/>
      <c r="C535" s="209"/>
      <c r="D535" s="209"/>
      <c r="E535" s="209"/>
      <c r="F535" s="210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</row>
    <row r="536" customFormat="false" ht="15" hidden="false" customHeight="false" outlineLevel="0" collapsed="false">
      <c r="A536" s="209"/>
      <c r="B536" s="209"/>
      <c r="C536" s="209"/>
      <c r="D536" s="209"/>
      <c r="E536" s="209"/>
      <c r="F536" s="210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</row>
    <row r="537" customFormat="false" ht="15" hidden="false" customHeight="false" outlineLevel="0" collapsed="false">
      <c r="A537" s="209"/>
      <c r="B537" s="209"/>
      <c r="C537" s="209"/>
      <c r="D537" s="209"/>
      <c r="E537" s="209"/>
      <c r="F537" s="210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</row>
    <row r="538" customFormat="false" ht="15" hidden="false" customHeight="false" outlineLevel="0" collapsed="false">
      <c r="A538" s="209"/>
      <c r="B538" s="209"/>
      <c r="C538" s="209"/>
      <c r="D538" s="209"/>
      <c r="E538" s="209"/>
      <c r="F538" s="210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</row>
    <row r="539" customFormat="false" ht="15" hidden="false" customHeight="false" outlineLevel="0" collapsed="false">
      <c r="A539" s="209"/>
      <c r="B539" s="209"/>
      <c r="C539" s="209"/>
      <c r="D539" s="209"/>
      <c r="E539" s="209"/>
      <c r="F539" s="210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</row>
    <row r="540" customFormat="false" ht="15" hidden="false" customHeight="false" outlineLevel="0" collapsed="false">
      <c r="A540" s="209"/>
      <c r="B540" s="209"/>
      <c r="C540" s="209"/>
      <c r="D540" s="209"/>
      <c r="E540" s="209"/>
      <c r="F540" s="210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</row>
    <row r="541" customFormat="false" ht="15" hidden="false" customHeight="false" outlineLevel="0" collapsed="false">
      <c r="A541" s="209"/>
      <c r="B541" s="209"/>
      <c r="C541" s="209"/>
      <c r="D541" s="209"/>
      <c r="E541" s="209"/>
      <c r="F541" s="210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</row>
    <row r="542" customFormat="false" ht="15" hidden="false" customHeight="false" outlineLevel="0" collapsed="false">
      <c r="A542" s="209"/>
      <c r="B542" s="209"/>
      <c r="C542" s="209"/>
      <c r="D542" s="209"/>
      <c r="E542" s="209"/>
      <c r="F542" s="210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</row>
    <row r="543" customFormat="false" ht="15" hidden="false" customHeight="false" outlineLevel="0" collapsed="false">
      <c r="A543" s="209"/>
      <c r="B543" s="209"/>
      <c r="C543" s="209"/>
      <c r="D543" s="209"/>
      <c r="E543" s="209"/>
      <c r="F543" s="210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</row>
    <row r="544" customFormat="false" ht="15" hidden="false" customHeight="false" outlineLevel="0" collapsed="false">
      <c r="A544" s="209"/>
      <c r="B544" s="209"/>
      <c r="C544" s="209"/>
      <c r="D544" s="209"/>
      <c r="E544" s="209"/>
      <c r="F544" s="210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</row>
    <row r="545" customFormat="false" ht="15" hidden="false" customHeight="false" outlineLevel="0" collapsed="false">
      <c r="A545" s="209"/>
      <c r="B545" s="209"/>
      <c r="C545" s="209"/>
      <c r="D545" s="209"/>
      <c r="E545" s="209"/>
      <c r="F545" s="210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</row>
    <row r="546" customFormat="false" ht="15" hidden="false" customHeight="false" outlineLevel="0" collapsed="false">
      <c r="A546" s="209"/>
      <c r="B546" s="209"/>
      <c r="C546" s="209"/>
      <c r="D546" s="209"/>
      <c r="E546" s="209"/>
      <c r="F546" s="210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</row>
    <row r="547" customFormat="false" ht="15" hidden="false" customHeight="false" outlineLevel="0" collapsed="false">
      <c r="A547" s="209"/>
      <c r="B547" s="209"/>
      <c r="C547" s="209"/>
      <c r="D547" s="209"/>
      <c r="E547" s="209"/>
      <c r="F547" s="210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</row>
    <row r="548" customFormat="false" ht="15" hidden="false" customHeight="false" outlineLevel="0" collapsed="false">
      <c r="A548" s="209"/>
      <c r="B548" s="209"/>
      <c r="C548" s="209"/>
      <c r="D548" s="209"/>
      <c r="E548" s="209"/>
      <c r="F548" s="210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</row>
    <row r="549" customFormat="false" ht="15" hidden="false" customHeight="false" outlineLevel="0" collapsed="false">
      <c r="A549" s="209"/>
      <c r="B549" s="209"/>
      <c r="C549" s="209"/>
      <c r="D549" s="209"/>
      <c r="E549" s="209"/>
      <c r="F549" s="210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</row>
    <row r="550" customFormat="false" ht="15" hidden="false" customHeight="false" outlineLevel="0" collapsed="false">
      <c r="A550" s="209"/>
      <c r="B550" s="209"/>
      <c r="C550" s="209"/>
      <c r="D550" s="209"/>
      <c r="E550" s="209"/>
      <c r="F550" s="210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</row>
    <row r="551" customFormat="false" ht="15" hidden="false" customHeight="false" outlineLevel="0" collapsed="false">
      <c r="A551" s="209"/>
      <c r="B551" s="209"/>
      <c r="C551" s="209"/>
      <c r="D551" s="209"/>
      <c r="E551" s="209"/>
      <c r="F551" s="210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</row>
    <row r="552" customFormat="false" ht="15" hidden="false" customHeight="false" outlineLevel="0" collapsed="false">
      <c r="A552" s="209"/>
      <c r="B552" s="209"/>
      <c r="C552" s="209"/>
      <c r="D552" s="209"/>
      <c r="E552" s="209"/>
      <c r="F552" s="210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</row>
    <row r="553" customFormat="false" ht="15" hidden="false" customHeight="false" outlineLevel="0" collapsed="false">
      <c r="A553" s="209"/>
      <c r="B553" s="209"/>
      <c r="C553" s="209"/>
      <c r="D553" s="209"/>
      <c r="E553" s="209"/>
      <c r="F553" s="210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</row>
    <row r="554" customFormat="false" ht="15" hidden="false" customHeight="false" outlineLevel="0" collapsed="false">
      <c r="A554" s="209"/>
      <c r="B554" s="209"/>
      <c r="C554" s="209"/>
      <c r="D554" s="209"/>
      <c r="E554" s="209"/>
      <c r="F554" s="210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</row>
    <row r="555" customFormat="false" ht="15" hidden="false" customHeight="false" outlineLevel="0" collapsed="false">
      <c r="A555" s="209"/>
      <c r="B555" s="209"/>
      <c r="C555" s="209"/>
      <c r="D555" s="209"/>
      <c r="E555" s="209"/>
      <c r="F555" s="210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</row>
    <row r="556" customFormat="false" ht="15" hidden="false" customHeight="false" outlineLevel="0" collapsed="false">
      <c r="A556" s="209"/>
      <c r="B556" s="209"/>
      <c r="C556" s="209"/>
      <c r="D556" s="209"/>
      <c r="E556" s="209"/>
      <c r="F556" s="210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</row>
    <row r="557" customFormat="false" ht="15" hidden="false" customHeight="false" outlineLevel="0" collapsed="false">
      <c r="A557" s="209"/>
      <c r="B557" s="209"/>
      <c r="C557" s="209"/>
      <c r="D557" s="209"/>
      <c r="E557" s="209"/>
      <c r="F557" s="210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</row>
    <row r="558" customFormat="false" ht="15" hidden="false" customHeight="false" outlineLevel="0" collapsed="false">
      <c r="A558" s="209"/>
      <c r="B558" s="209"/>
      <c r="C558" s="209"/>
      <c r="D558" s="209"/>
      <c r="E558" s="209"/>
      <c r="F558" s="210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</row>
    <row r="559" customFormat="false" ht="15" hidden="false" customHeight="false" outlineLevel="0" collapsed="false">
      <c r="A559" s="209"/>
      <c r="B559" s="209"/>
      <c r="C559" s="209"/>
      <c r="D559" s="209"/>
      <c r="E559" s="209"/>
      <c r="F559" s="210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</row>
    <row r="560" customFormat="false" ht="15" hidden="false" customHeight="false" outlineLevel="0" collapsed="false">
      <c r="A560" s="209"/>
      <c r="B560" s="209"/>
      <c r="C560" s="209"/>
      <c r="D560" s="209"/>
      <c r="E560" s="209"/>
      <c r="F560" s="210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</row>
    <row r="561" customFormat="false" ht="15" hidden="false" customHeight="false" outlineLevel="0" collapsed="false">
      <c r="A561" s="209"/>
      <c r="B561" s="209"/>
      <c r="C561" s="209"/>
      <c r="D561" s="209"/>
      <c r="E561" s="209"/>
      <c r="F561" s="210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</row>
    <row r="562" customFormat="false" ht="15" hidden="false" customHeight="false" outlineLevel="0" collapsed="false">
      <c r="A562" s="209"/>
      <c r="B562" s="209"/>
      <c r="C562" s="209"/>
      <c r="D562" s="209"/>
      <c r="E562" s="209"/>
      <c r="F562" s="210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</row>
    <row r="563" customFormat="false" ht="15" hidden="false" customHeight="false" outlineLevel="0" collapsed="false">
      <c r="A563" s="209"/>
      <c r="B563" s="209"/>
      <c r="C563" s="209"/>
      <c r="D563" s="209"/>
      <c r="E563" s="209"/>
      <c r="F563" s="210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</row>
    <row r="564" customFormat="false" ht="15" hidden="false" customHeight="false" outlineLevel="0" collapsed="false">
      <c r="A564" s="209"/>
      <c r="B564" s="209"/>
      <c r="C564" s="209"/>
      <c r="D564" s="209"/>
      <c r="E564" s="209"/>
      <c r="F564" s="210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</row>
    <row r="565" customFormat="false" ht="15" hidden="false" customHeight="false" outlineLevel="0" collapsed="false">
      <c r="A565" s="209"/>
      <c r="B565" s="209"/>
      <c r="C565" s="209"/>
      <c r="D565" s="209"/>
      <c r="E565" s="209"/>
      <c r="F565" s="210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</row>
    <row r="566" customFormat="false" ht="15" hidden="false" customHeight="false" outlineLevel="0" collapsed="false">
      <c r="A566" s="209"/>
      <c r="B566" s="209"/>
      <c r="C566" s="209"/>
      <c r="D566" s="209"/>
      <c r="E566" s="209"/>
      <c r="F566" s="210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</row>
    <row r="567" customFormat="false" ht="15" hidden="false" customHeight="false" outlineLevel="0" collapsed="false">
      <c r="A567" s="209"/>
      <c r="B567" s="209"/>
      <c r="C567" s="209"/>
      <c r="D567" s="209"/>
      <c r="E567" s="209"/>
      <c r="F567" s="210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</row>
    <row r="568" customFormat="false" ht="15" hidden="false" customHeight="false" outlineLevel="0" collapsed="false">
      <c r="A568" s="209"/>
      <c r="B568" s="209"/>
      <c r="C568" s="209"/>
      <c r="D568" s="209"/>
      <c r="E568" s="209"/>
      <c r="F568" s="210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</row>
    <row r="569" customFormat="false" ht="15" hidden="false" customHeight="false" outlineLevel="0" collapsed="false">
      <c r="A569" s="209"/>
      <c r="B569" s="209"/>
      <c r="C569" s="209"/>
      <c r="D569" s="209"/>
      <c r="E569" s="209"/>
      <c r="F569" s="210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</row>
    <row r="570" customFormat="false" ht="15" hidden="false" customHeight="false" outlineLevel="0" collapsed="false">
      <c r="A570" s="209"/>
      <c r="B570" s="209"/>
      <c r="C570" s="209"/>
      <c r="D570" s="209"/>
      <c r="E570" s="209"/>
      <c r="F570" s="210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</row>
    <row r="571" customFormat="false" ht="15" hidden="false" customHeight="false" outlineLevel="0" collapsed="false">
      <c r="A571" s="209"/>
      <c r="B571" s="209"/>
      <c r="C571" s="209"/>
      <c r="D571" s="209"/>
      <c r="E571" s="209"/>
      <c r="F571" s="210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</row>
    <row r="572" customFormat="false" ht="15" hidden="false" customHeight="false" outlineLevel="0" collapsed="false">
      <c r="A572" s="209"/>
      <c r="B572" s="209"/>
      <c r="C572" s="209"/>
      <c r="D572" s="209"/>
      <c r="E572" s="209"/>
      <c r="F572" s="210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</row>
    <row r="573" customFormat="false" ht="15" hidden="false" customHeight="false" outlineLevel="0" collapsed="false">
      <c r="A573" s="209"/>
      <c r="B573" s="209"/>
      <c r="C573" s="209"/>
      <c r="D573" s="209"/>
      <c r="E573" s="209"/>
      <c r="F573" s="210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</row>
    <row r="574" customFormat="false" ht="15" hidden="false" customHeight="false" outlineLevel="0" collapsed="false">
      <c r="A574" s="209"/>
      <c r="B574" s="209"/>
      <c r="C574" s="209"/>
      <c r="D574" s="209"/>
      <c r="E574" s="209"/>
      <c r="F574" s="210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</row>
    <row r="575" customFormat="false" ht="15" hidden="false" customHeight="false" outlineLevel="0" collapsed="false">
      <c r="A575" s="209"/>
      <c r="B575" s="209"/>
      <c r="C575" s="209"/>
      <c r="D575" s="209"/>
      <c r="E575" s="209"/>
      <c r="F575" s="210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</row>
    <row r="576" customFormat="false" ht="15" hidden="false" customHeight="false" outlineLevel="0" collapsed="false">
      <c r="A576" s="209"/>
      <c r="B576" s="209"/>
      <c r="C576" s="209"/>
      <c r="D576" s="209"/>
      <c r="E576" s="209"/>
      <c r="F576" s="210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</row>
    <row r="577" customFormat="false" ht="15" hidden="false" customHeight="false" outlineLevel="0" collapsed="false">
      <c r="A577" s="209"/>
      <c r="B577" s="209"/>
      <c r="C577" s="209"/>
      <c r="D577" s="209"/>
      <c r="E577" s="209"/>
      <c r="F577" s="210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</row>
    <row r="578" customFormat="false" ht="15" hidden="false" customHeight="false" outlineLevel="0" collapsed="false">
      <c r="A578" s="209"/>
      <c r="B578" s="209"/>
      <c r="C578" s="209"/>
      <c r="D578" s="209"/>
      <c r="E578" s="209"/>
      <c r="F578" s="210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</row>
    <row r="579" customFormat="false" ht="15" hidden="false" customHeight="false" outlineLevel="0" collapsed="false">
      <c r="A579" s="209"/>
      <c r="B579" s="209"/>
      <c r="C579" s="209"/>
      <c r="D579" s="209"/>
      <c r="E579" s="209"/>
      <c r="F579" s="210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</row>
    <row r="580" customFormat="false" ht="15" hidden="false" customHeight="false" outlineLevel="0" collapsed="false">
      <c r="A580" s="209"/>
      <c r="B580" s="209"/>
      <c r="C580" s="209"/>
      <c r="D580" s="209"/>
      <c r="E580" s="209"/>
      <c r="F580" s="210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</row>
    <row r="581" customFormat="false" ht="15" hidden="false" customHeight="false" outlineLevel="0" collapsed="false">
      <c r="A581" s="209"/>
      <c r="B581" s="209"/>
      <c r="C581" s="209"/>
      <c r="D581" s="209"/>
      <c r="E581" s="209"/>
      <c r="F581" s="210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</row>
    <row r="582" customFormat="false" ht="15" hidden="false" customHeight="false" outlineLevel="0" collapsed="false">
      <c r="A582" s="209"/>
      <c r="B582" s="209"/>
      <c r="C582" s="209"/>
      <c r="D582" s="209"/>
      <c r="E582" s="209"/>
      <c r="F582" s="210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</row>
    <row r="583" customFormat="false" ht="15" hidden="false" customHeight="false" outlineLevel="0" collapsed="false">
      <c r="A583" s="209"/>
      <c r="B583" s="209"/>
      <c r="C583" s="209"/>
      <c r="D583" s="209"/>
      <c r="E583" s="209"/>
      <c r="F583" s="210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</row>
    <row r="584" customFormat="false" ht="15" hidden="false" customHeight="false" outlineLevel="0" collapsed="false">
      <c r="A584" s="209"/>
      <c r="B584" s="209"/>
      <c r="C584" s="209"/>
      <c r="D584" s="209"/>
      <c r="E584" s="209"/>
      <c r="F584" s="210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</row>
    <row r="585" customFormat="false" ht="15" hidden="false" customHeight="false" outlineLevel="0" collapsed="false">
      <c r="A585" s="209"/>
      <c r="B585" s="209"/>
      <c r="C585" s="209"/>
      <c r="D585" s="209"/>
      <c r="E585" s="209"/>
      <c r="F585" s="210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</row>
    <row r="586" customFormat="false" ht="15" hidden="false" customHeight="false" outlineLevel="0" collapsed="false">
      <c r="A586" s="209"/>
      <c r="B586" s="209"/>
      <c r="C586" s="209"/>
      <c r="D586" s="209"/>
      <c r="E586" s="209"/>
      <c r="F586" s="210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</row>
    <row r="587" customFormat="false" ht="15" hidden="false" customHeight="false" outlineLevel="0" collapsed="false">
      <c r="A587" s="209"/>
      <c r="B587" s="209"/>
      <c r="C587" s="209"/>
      <c r="D587" s="209"/>
      <c r="E587" s="209"/>
      <c r="F587" s="210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</row>
    <row r="588" customFormat="false" ht="15" hidden="false" customHeight="false" outlineLevel="0" collapsed="false">
      <c r="A588" s="209"/>
      <c r="B588" s="209"/>
      <c r="C588" s="209"/>
      <c r="D588" s="209"/>
      <c r="E588" s="209"/>
      <c r="F588" s="210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</row>
    <row r="589" customFormat="false" ht="15" hidden="false" customHeight="false" outlineLevel="0" collapsed="false">
      <c r="A589" s="209"/>
      <c r="B589" s="209"/>
      <c r="C589" s="209"/>
      <c r="D589" s="209"/>
      <c r="E589" s="209"/>
      <c r="F589" s="210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</row>
    <row r="590" customFormat="false" ht="15" hidden="false" customHeight="false" outlineLevel="0" collapsed="false">
      <c r="A590" s="209"/>
      <c r="B590" s="209"/>
      <c r="C590" s="209"/>
      <c r="D590" s="209"/>
      <c r="E590" s="209"/>
      <c r="F590" s="210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</row>
    <row r="591" customFormat="false" ht="15" hidden="false" customHeight="false" outlineLevel="0" collapsed="false">
      <c r="A591" s="209"/>
      <c r="B591" s="209"/>
      <c r="C591" s="209"/>
      <c r="D591" s="209"/>
      <c r="E591" s="209"/>
      <c r="F591" s="210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</row>
    <row r="592" customFormat="false" ht="15" hidden="false" customHeight="false" outlineLevel="0" collapsed="false">
      <c r="A592" s="209"/>
      <c r="B592" s="209"/>
      <c r="C592" s="209"/>
      <c r="D592" s="209"/>
      <c r="E592" s="209"/>
      <c r="F592" s="210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</row>
    <row r="593" customFormat="false" ht="15" hidden="false" customHeight="false" outlineLevel="0" collapsed="false">
      <c r="A593" s="209"/>
      <c r="B593" s="209"/>
      <c r="C593" s="209"/>
      <c r="D593" s="209"/>
      <c r="E593" s="209"/>
      <c r="F593" s="210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</row>
    <row r="594" customFormat="false" ht="15" hidden="false" customHeight="false" outlineLevel="0" collapsed="false">
      <c r="A594" s="209"/>
      <c r="B594" s="209"/>
      <c r="C594" s="209"/>
      <c r="D594" s="209"/>
      <c r="E594" s="209"/>
      <c r="F594" s="210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</row>
    <row r="595" customFormat="false" ht="15" hidden="false" customHeight="false" outlineLevel="0" collapsed="false">
      <c r="A595" s="209"/>
      <c r="B595" s="209"/>
      <c r="C595" s="209"/>
      <c r="D595" s="209"/>
      <c r="E595" s="209"/>
      <c r="F595" s="210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</row>
    <row r="596" customFormat="false" ht="15" hidden="false" customHeight="false" outlineLevel="0" collapsed="false">
      <c r="A596" s="209"/>
      <c r="B596" s="209"/>
      <c r="C596" s="209"/>
      <c r="D596" s="209"/>
      <c r="E596" s="209"/>
      <c r="F596" s="210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</row>
    <row r="597" customFormat="false" ht="15" hidden="false" customHeight="false" outlineLevel="0" collapsed="false">
      <c r="A597" s="209"/>
      <c r="B597" s="209"/>
      <c r="C597" s="209"/>
      <c r="D597" s="209"/>
      <c r="E597" s="209"/>
      <c r="F597" s="210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</row>
    <row r="598" customFormat="false" ht="15" hidden="false" customHeight="false" outlineLevel="0" collapsed="false">
      <c r="A598" s="209"/>
      <c r="B598" s="209"/>
      <c r="C598" s="209"/>
      <c r="D598" s="209"/>
      <c r="E598" s="209"/>
      <c r="F598" s="210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</row>
    <row r="599" customFormat="false" ht="15" hidden="false" customHeight="false" outlineLevel="0" collapsed="false">
      <c r="A599" s="209"/>
      <c r="B599" s="209"/>
      <c r="C599" s="209"/>
      <c r="D599" s="209"/>
      <c r="E599" s="209"/>
      <c r="F599" s="210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</row>
    <row r="600" customFormat="false" ht="15" hidden="false" customHeight="false" outlineLevel="0" collapsed="false">
      <c r="A600" s="209"/>
      <c r="B600" s="209"/>
      <c r="C600" s="209"/>
      <c r="D600" s="209"/>
      <c r="E600" s="209"/>
      <c r="F600" s="210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</row>
    <row r="601" customFormat="false" ht="15" hidden="false" customHeight="false" outlineLevel="0" collapsed="false">
      <c r="A601" s="209"/>
      <c r="B601" s="209"/>
      <c r="C601" s="209"/>
      <c r="D601" s="209"/>
      <c r="E601" s="209"/>
      <c r="F601" s="210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</row>
    <row r="602" customFormat="false" ht="15" hidden="false" customHeight="false" outlineLevel="0" collapsed="false">
      <c r="A602" s="209"/>
      <c r="B602" s="209"/>
      <c r="C602" s="209"/>
      <c r="D602" s="209"/>
      <c r="E602" s="209"/>
      <c r="F602" s="210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</row>
    <row r="603" customFormat="false" ht="15" hidden="false" customHeight="false" outlineLevel="0" collapsed="false">
      <c r="A603" s="209"/>
      <c r="B603" s="209"/>
      <c r="C603" s="209"/>
      <c r="D603" s="209"/>
      <c r="E603" s="209"/>
      <c r="F603" s="210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</row>
    <row r="604" customFormat="false" ht="15" hidden="false" customHeight="false" outlineLevel="0" collapsed="false">
      <c r="A604" s="209"/>
      <c r="B604" s="209"/>
      <c r="C604" s="209"/>
      <c r="D604" s="209"/>
      <c r="E604" s="209"/>
      <c r="F604" s="210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</row>
    <row r="605" customFormat="false" ht="15" hidden="false" customHeight="false" outlineLevel="0" collapsed="false">
      <c r="A605" s="209"/>
      <c r="B605" s="209"/>
      <c r="C605" s="209"/>
      <c r="D605" s="209"/>
      <c r="E605" s="209"/>
      <c r="F605" s="210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</row>
    <row r="606" customFormat="false" ht="15" hidden="false" customHeight="false" outlineLevel="0" collapsed="false">
      <c r="A606" s="209"/>
      <c r="B606" s="209"/>
      <c r="C606" s="209"/>
      <c r="D606" s="209"/>
      <c r="E606" s="209"/>
      <c r="F606" s="210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</row>
    <row r="607" customFormat="false" ht="15" hidden="false" customHeight="false" outlineLevel="0" collapsed="false">
      <c r="A607" s="209"/>
      <c r="B607" s="209"/>
      <c r="C607" s="209"/>
      <c r="D607" s="209"/>
      <c r="E607" s="209"/>
      <c r="F607" s="210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</row>
    <row r="608" customFormat="false" ht="15" hidden="false" customHeight="false" outlineLevel="0" collapsed="false">
      <c r="A608" s="209"/>
      <c r="B608" s="209"/>
      <c r="C608" s="209"/>
      <c r="D608" s="209"/>
      <c r="E608" s="209"/>
      <c r="F608" s="210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</row>
    <row r="609" customFormat="false" ht="15" hidden="false" customHeight="false" outlineLevel="0" collapsed="false">
      <c r="A609" s="209"/>
      <c r="B609" s="209"/>
      <c r="C609" s="209"/>
      <c r="D609" s="209"/>
      <c r="E609" s="209"/>
      <c r="F609" s="210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</row>
    <row r="610" customFormat="false" ht="15" hidden="false" customHeight="false" outlineLevel="0" collapsed="false">
      <c r="A610" s="209"/>
      <c r="B610" s="209"/>
      <c r="C610" s="209"/>
      <c r="D610" s="209"/>
      <c r="E610" s="209"/>
      <c r="F610" s="210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</row>
    <row r="611" customFormat="false" ht="15" hidden="false" customHeight="false" outlineLevel="0" collapsed="false">
      <c r="A611" s="209"/>
      <c r="B611" s="209"/>
      <c r="C611" s="209"/>
      <c r="D611" s="209"/>
      <c r="E611" s="209"/>
      <c r="F611" s="210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</row>
    <row r="612" customFormat="false" ht="15" hidden="false" customHeight="false" outlineLevel="0" collapsed="false">
      <c r="A612" s="209"/>
      <c r="B612" s="209"/>
      <c r="C612" s="209"/>
      <c r="D612" s="209"/>
      <c r="E612" s="209"/>
      <c r="F612" s="210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</row>
    <row r="613" customFormat="false" ht="15" hidden="false" customHeight="false" outlineLevel="0" collapsed="false">
      <c r="A613" s="209"/>
      <c r="B613" s="209"/>
      <c r="C613" s="209"/>
      <c r="D613" s="209"/>
      <c r="E613" s="209"/>
      <c r="F613" s="210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</row>
    <row r="614" customFormat="false" ht="15" hidden="false" customHeight="false" outlineLevel="0" collapsed="false">
      <c r="A614" s="209"/>
      <c r="B614" s="209"/>
      <c r="C614" s="209"/>
      <c r="D614" s="209"/>
      <c r="E614" s="209"/>
      <c r="F614" s="210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</row>
    <row r="615" customFormat="false" ht="15" hidden="false" customHeight="false" outlineLevel="0" collapsed="false">
      <c r="A615" s="209"/>
      <c r="B615" s="209"/>
      <c r="C615" s="209"/>
      <c r="D615" s="209"/>
      <c r="E615" s="209"/>
      <c r="F615" s="210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</row>
    <row r="616" customFormat="false" ht="15" hidden="false" customHeight="false" outlineLevel="0" collapsed="false">
      <c r="A616" s="209"/>
      <c r="B616" s="209"/>
      <c r="C616" s="209"/>
      <c r="D616" s="209"/>
      <c r="E616" s="209"/>
      <c r="F616" s="210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</row>
    <row r="617" customFormat="false" ht="15" hidden="false" customHeight="false" outlineLevel="0" collapsed="false">
      <c r="A617" s="209"/>
      <c r="B617" s="209"/>
      <c r="C617" s="209"/>
      <c r="D617" s="209"/>
      <c r="E617" s="209"/>
      <c r="F617" s="210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</row>
    <row r="618" customFormat="false" ht="15" hidden="false" customHeight="false" outlineLevel="0" collapsed="false">
      <c r="A618" s="209"/>
      <c r="B618" s="209"/>
      <c r="C618" s="209"/>
      <c r="D618" s="209"/>
      <c r="E618" s="209"/>
      <c r="F618" s="210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</row>
    <row r="619" customFormat="false" ht="15" hidden="false" customHeight="false" outlineLevel="0" collapsed="false">
      <c r="A619" s="209"/>
      <c r="B619" s="209"/>
      <c r="C619" s="209"/>
      <c r="D619" s="209"/>
      <c r="E619" s="209"/>
      <c r="F619" s="210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</row>
    <row r="620" customFormat="false" ht="15" hidden="false" customHeight="false" outlineLevel="0" collapsed="false">
      <c r="A620" s="209"/>
      <c r="B620" s="209"/>
      <c r="C620" s="209"/>
      <c r="D620" s="209"/>
      <c r="E620" s="209"/>
      <c r="F620" s="210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</row>
    <row r="621" customFormat="false" ht="15" hidden="false" customHeight="false" outlineLevel="0" collapsed="false">
      <c r="A621" s="209"/>
      <c r="B621" s="209"/>
      <c r="C621" s="209"/>
      <c r="D621" s="209"/>
      <c r="E621" s="209"/>
      <c r="F621" s="210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</row>
    <row r="622" customFormat="false" ht="15" hidden="false" customHeight="false" outlineLevel="0" collapsed="false">
      <c r="A622" s="209"/>
      <c r="B622" s="209"/>
      <c r="C622" s="209"/>
      <c r="D622" s="209"/>
      <c r="E622" s="209"/>
      <c r="F622" s="210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</row>
    <row r="623" customFormat="false" ht="15" hidden="false" customHeight="false" outlineLevel="0" collapsed="false">
      <c r="A623" s="209"/>
      <c r="B623" s="209"/>
      <c r="C623" s="209"/>
      <c r="D623" s="209"/>
      <c r="E623" s="209"/>
      <c r="F623" s="210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</row>
    <row r="624" customFormat="false" ht="15" hidden="false" customHeight="false" outlineLevel="0" collapsed="false">
      <c r="A624" s="209"/>
      <c r="B624" s="209"/>
      <c r="C624" s="209"/>
      <c r="D624" s="209"/>
      <c r="E624" s="209"/>
      <c r="F624" s="210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</row>
    <row r="625" customFormat="false" ht="15" hidden="false" customHeight="false" outlineLevel="0" collapsed="false">
      <c r="A625" s="209"/>
      <c r="B625" s="209"/>
      <c r="C625" s="209"/>
      <c r="D625" s="209"/>
      <c r="E625" s="209"/>
      <c r="F625" s="210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</row>
    <row r="626" customFormat="false" ht="15" hidden="false" customHeight="false" outlineLevel="0" collapsed="false">
      <c r="A626" s="209"/>
      <c r="B626" s="209"/>
      <c r="C626" s="209"/>
      <c r="D626" s="209"/>
      <c r="E626" s="209"/>
      <c r="F626" s="210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</row>
    <row r="627" customFormat="false" ht="15" hidden="false" customHeight="false" outlineLevel="0" collapsed="false">
      <c r="A627" s="209"/>
      <c r="B627" s="209"/>
      <c r="C627" s="209"/>
      <c r="D627" s="209"/>
      <c r="E627" s="209"/>
      <c r="F627" s="210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</row>
    <row r="628" customFormat="false" ht="15" hidden="false" customHeight="false" outlineLevel="0" collapsed="false">
      <c r="A628" s="209"/>
      <c r="B628" s="209"/>
      <c r="C628" s="209"/>
      <c r="D628" s="209"/>
      <c r="E628" s="209"/>
      <c r="F628" s="210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</row>
    <row r="629" customFormat="false" ht="15" hidden="false" customHeight="false" outlineLevel="0" collapsed="false">
      <c r="A629" s="209"/>
      <c r="B629" s="209"/>
      <c r="C629" s="209"/>
      <c r="D629" s="209"/>
      <c r="E629" s="209"/>
      <c r="F629" s="210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</row>
    <row r="630" customFormat="false" ht="15" hidden="false" customHeight="false" outlineLevel="0" collapsed="false">
      <c r="A630" s="209"/>
      <c r="B630" s="209"/>
      <c r="C630" s="209"/>
      <c r="D630" s="209"/>
      <c r="E630" s="209"/>
      <c r="F630" s="210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</row>
    <row r="631" customFormat="false" ht="15" hidden="false" customHeight="false" outlineLevel="0" collapsed="false">
      <c r="A631" s="209"/>
      <c r="B631" s="209"/>
      <c r="C631" s="209"/>
      <c r="D631" s="209"/>
      <c r="E631" s="209"/>
      <c r="F631" s="210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</row>
    <row r="632" customFormat="false" ht="15" hidden="false" customHeight="false" outlineLevel="0" collapsed="false">
      <c r="A632" s="209"/>
      <c r="B632" s="209"/>
      <c r="C632" s="209"/>
      <c r="D632" s="209"/>
      <c r="E632" s="209"/>
      <c r="F632" s="210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</row>
    <row r="633" customFormat="false" ht="15" hidden="false" customHeight="false" outlineLevel="0" collapsed="false">
      <c r="A633" s="209"/>
      <c r="B633" s="209"/>
      <c r="C633" s="209"/>
      <c r="D633" s="209"/>
      <c r="E633" s="209"/>
      <c r="F633" s="210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</row>
    <row r="634" customFormat="false" ht="15" hidden="false" customHeight="false" outlineLevel="0" collapsed="false">
      <c r="A634" s="209"/>
      <c r="B634" s="209"/>
      <c r="C634" s="209"/>
      <c r="D634" s="209"/>
      <c r="E634" s="209"/>
      <c r="F634" s="210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</row>
    <row r="635" customFormat="false" ht="15" hidden="false" customHeight="false" outlineLevel="0" collapsed="false">
      <c r="A635" s="209"/>
      <c r="B635" s="209"/>
      <c r="C635" s="209"/>
      <c r="D635" s="209"/>
      <c r="E635" s="209"/>
      <c r="F635" s="210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</row>
    <row r="636" customFormat="false" ht="15" hidden="false" customHeight="false" outlineLevel="0" collapsed="false">
      <c r="A636" s="209"/>
      <c r="B636" s="209"/>
      <c r="C636" s="209"/>
      <c r="D636" s="209"/>
      <c r="E636" s="209"/>
      <c r="F636" s="210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</row>
    <row r="637" customFormat="false" ht="15" hidden="false" customHeight="false" outlineLevel="0" collapsed="false">
      <c r="A637" s="209"/>
      <c r="B637" s="209"/>
      <c r="C637" s="209"/>
      <c r="D637" s="209"/>
      <c r="E637" s="209"/>
      <c r="F637" s="210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</row>
    <row r="638" customFormat="false" ht="15" hidden="false" customHeight="false" outlineLevel="0" collapsed="false">
      <c r="A638" s="209"/>
      <c r="B638" s="209"/>
      <c r="C638" s="209"/>
      <c r="D638" s="209"/>
      <c r="E638" s="209"/>
      <c r="F638" s="210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</row>
    <row r="639" customFormat="false" ht="15" hidden="false" customHeight="false" outlineLevel="0" collapsed="false">
      <c r="A639" s="209"/>
      <c r="B639" s="209"/>
      <c r="C639" s="209"/>
      <c r="D639" s="209"/>
      <c r="E639" s="209"/>
      <c r="F639" s="210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</row>
    <row r="640" customFormat="false" ht="15" hidden="false" customHeight="false" outlineLevel="0" collapsed="false">
      <c r="A640" s="209"/>
      <c r="B640" s="209"/>
      <c r="C640" s="209"/>
      <c r="D640" s="209"/>
      <c r="E640" s="209"/>
      <c r="F640" s="210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</row>
    <row r="641" customFormat="false" ht="15" hidden="false" customHeight="false" outlineLevel="0" collapsed="false">
      <c r="A641" s="209"/>
      <c r="B641" s="209"/>
      <c r="C641" s="209"/>
      <c r="D641" s="209"/>
      <c r="E641" s="209"/>
      <c r="F641" s="210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</row>
    <row r="642" customFormat="false" ht="15" hidden="false" customHeight="false" outlineLevel="0" collapsed="false">
      <c r="A642" s="209"/>
      <c r="B642" s="209"/>
      <c r="C642" s="209"/>
      <c r="D642" s="209"/>
      <c r="E642" s="209"/>
      <c r="F642" s="210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</row>
    <row r="643" customFormat="false" ht="15" hidden="false" customHeight="false" outlineLevel="0" collapsed="false">
      <c r="A643" s="209"/>
      <c r="B643" s="209"/>
      <c r="C643" s="209"/>
      <c r="D643" s="209"/>
      <c r="E643" s="209"/>
      <c r="F643" s="210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</row>
    <row r="644" customFormat="false" ht="15" hidden="false" customHeight="false" outlineLevel="0" collapsed="false">
      <c r="A644" s="209"/>
      <c r="B644" s="209"/>
      <c r="C644" s="209"/>
      <c r="D644" s="209"/>
      <c r="E644" s="209"/>
      <c r="F644" s="210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</row>
    <row r="645" customFormat="false" ht="15" hidden="false" customHeight="false" outlineLevel="0" collapsed="false">
      <c r="A645" s="209"/>
      <c r="B645" s="209"/>
      <c r="C645" s="209"/>
      <c r="D645" s="209"/>
      <c r="E645" s="209"/>
      <c r="F645" s="210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</row>
    <row r="646" customFormat="false" ht="15" hidden="false" customHeight="false" outlineLevel="0" collapsed="false">
      <c r="A646" s="209"/>
      <c r="B646" s="209"/>
      <c r="C646" s="209"/>
      <c r="D646" s="209"/>
      <c r="E646" s="209"/>
      <c r="F646" s="210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</row>
    <row r="647" customFormat="false" ht="15" hidden="false" customHeight="false" outlineLevel="0" collapsed="false">
      <c r="A647" s="209"/>
      <c r="B647" s="209"/>
      <c r="C647" s="209"/>
      <c r="D647" s="209"/>
      <c r="E647" s="209"/>
      <c r="F647" s="210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</row>
    <row r="648" customFormat="false" ht="15" hidden="false" customHeight="false" outlineLevel="0" collapsed="false">
      <c r="A648" s="209"/>
      <c r="B648" s="209"/>
      <c r="C648" s="209"/>
      <c r="D648" s="209"/>
      <c r="E648" s="209"/>
      <c r="F648" s="210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</row>
    <row r="649" customFormat="false" ht="15" hidden="false" customHeight="false" outlineLevel="0" collapsed="false">
      <c r="A649" s="209"/>
      <c r="B649" s="209"/>
      <c r="C649" s="209"/>
      <c r="D649" s="209"/>
      <c r="E649" s="209"/>
      <c r="F649" s="210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</row>
    <row r="650" customFormat="false" ht="15" hidden="false" customHeight="false" outlineLevel="0" collapsed="false">
      <c r="A650" s="209"/>
      <c r="B650" s="209"/>
      <c r="C650" s="209"/>
      <c r="D650" s="209"/>
      <c r="E650" s="209"/>
      <c r="F650" s="210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</row>
    <row r="651" customFormat="false" ht="15" hidden="false" customHeight="false" outlineLevel="0" collapsed="false">
      <c r="A651" s="209"/>
      <c r="B651" s="209"/>
      <c r="C651" s="209"/>
      <c r="D651" s="209"/>
      <c r="E651" s="209"/>
      <c r="F651" s="210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</row>
    <row r="652" customFormat="false" ht="15" hidden="false" customHeight="false" outlineLevel="0" collapsed="false">
      <c r="A652" s="209"/>
      <c r="B652" s="209"/>
      <c r="C652" s="209"/>
      <c r="D652" s="209"/>
      <c r="E652" s="209"/>
      <c r="F652" s="210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</row>
    <row r="653" customFormat="false" ht="15" hidden="false" customHeight="false" outlineLevel="0" collapsed="false">
      <c r="A653" s="209"/>
      <c r="B653" s="209"/>
      <c r="C653" s="209"/>
      <c r="D653" s="209"/>
      <c r="E653" s="209"/>
      <c r="F653" s="210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</row>
    <row r="654" customFormat="false" ht="15" hidden="false" customHeight="false" outlineLevel="0" collapsed="false">
      <c r="A654" s="209"/>
      <c r="B654" s="209"/>
      <c r="C654" s="209"/>
      <c r="D654" s="209"/>
      <c r="E654" s="209"/>
      <c r="F654" s="210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</row>
    <row r="655" customFormat="false" ht="15" hidden="false" customHeight="false" outlineLevel="0" collapsed="false">
      <c r="A655" s="209"/>
      <c r="B655" s="209"/>
      <c r="C655" s="209"/>
      <c r="D655" s="209"/>
      <c r="E655" s="209"/>
      <c r="F655" s="210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</row>
    <row r="656" customFormat="false" ht="15" hidden="false" customHeight="false" outlineLevel="0" collapsed="false">
      <c r="A656" s="209"/>
      <c r="B656" s="209"/>
      <c r="C656" s="209"/>
      <c r="D656" s="209"/>
      <c r="E656" s="209"/>
      <c r="F656" s="210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</row>
    <row r="657" customFormat="false" ht="15" hidden="false" customHeight="false" outlineLevel="0" collapsed="false">
      <c r="A657" s="209"/>
      <c r="B657" s="209"/>
      <c r="C657" s="209"/>
      <c r="D657" s="209"/>
      <c r="E657" s="209"/>
      <c r="F657" s="210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</row>
    <row r="658" customFormat="false" ht="15" hidden="false" customHeight="false" outlineLevel="0" collapsed="false">
      <c r="A658" s="209"/>
      <c r="B658" s="209"/>
      <c r="C658" s="209"/>
      <c r="D658" s="209"/>
      <c r="E658" s="209"/>
      <c r="F658" s="210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</row>
    <row r="659" customFormat="false" ht="15" hidden="false" customHeight="false" outlineLevel="0" collapsed="false">
      <c r="A659" s="209"/>
      <c r="B659" s="209"/>
      <c r="C659" s="209"/>
      <c r="D659" s="209"/>
      <c r="E659" s="209"/>
      <c r="F659" s="210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</row>
    <row r="660" customFormat="false" ht="15" hidden="false" customHeight="false" outlineLevel="0" collapsed="false">
      <c r="A660" s="209"/>
      <c r="B660" s="209"/>
      <c r="C660" s="209"/>
      <c r="D660" s="209"/>
      <c r="E660" s="209"/>
      <c r="F660" s="210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</row>
    <row r="661" customFormat="false" ht="15" hidden="false" customHeight="false" outlineLevel="0" collapsed="false">
      <c r="A661" s="209"/>
      <c r="B661" s="209"/>
      <c r="C661" s="209"/>
      <c r="D661" s="209"/>
      <c r="E661" s="209"/>
      <c r="F661" s="210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</row>
    <row r="662" customFormat="false" ht="15" hidden="false" customHeight="false" outlineLevel="0" collapsed="false">
      <c r="A662" s="209"/>
      <c r="B662" s="209"/>
      <c r="C662" s="209"/>
      <c r="D662" s="209"/>
      <c r="E662" s="209"/>
      <c r="F662" s="210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</row>
    <row r="663" customFormat="false" ht="15" hidden="false" customHeight="false" outlineLevel="0" collapsed="false">
      <c r="A663" s="209"/>
      <c r="B663" s="209"/>
      <c r="C663" s="209"/>
      <c r="D663" s="209"/>
      <c r="E663" s="209"/>
      <c r="F663" s="210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</row>
    <row r="664" customFormat="false" ht="15" hidden="false" customHeight="false" outlineLevel="0" collapsed="false">
      <c r="A664" s="209"/>
      <c r="B664" s="209"/>
      <c r="C664" s="209"/>
      <c r="D664" s="209"/>
      <c r="E664" s="209"/>
      <c r="F664" s="210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</row>
    <row r="665" customFormat="false" ht="15" hidden="false" customHeight="false" outlineLevel="0" collapsed="false">
      <c r="A665" s="209"/>
      <c r="B665" s="209"/>
      <c r="C665" s="209"/>
      <c r="D665" s="209"/>
      <c r="E665" s="209"/>
      <c r="F665" s="210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</row>
    <row r="666" customFormat="false" ht="15" hidden="false" customHeight="false" outlineLevel="0" collapsed="false">
      <c r="A666" s="209"/>
      <c r="B666" s="209"/>
      <c r="C666" s="209"/>
      <c r="D666" s="209"/>
      <c r="E666" s="209"/>
      <c r="F666" s="210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</row>
    <row r="667" customFormat="false" ht="15" hidden="false" customHeight="false" outlineLevel="0" collapsed="false">
      <c r="A667" s="209"/>
      <c r="B667" s="209"/>
      <c r="C667" s="209"/>
      <c r="D667" s="209"/>
      <c r="E667" s="209"/>
      <c r="F667" s="210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</row>
    <row r="668" customFormat="false" ht="15" hidden="false" customHeight="false" outlineLevel="0" collapsed="false">
      <c r="A668" s="209"/>
      <c r="B668" s="209"/>
      <c r="C668" s="209"/>
      <c r="D668" s="209"/>
      <c r="E668" s="209"/>
      <c r="F668" s="210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</row>
    <row r="669" customFormat="false" ht="15" hidden="false" customHeight="false" outlineLevel="0" collapsed="false">
      <c r="A669" s="209"/>
      <c r="B669" s="209"/>
      <c r="C669" s="209"/>
      <c r="D669" s="209"/>
      <c r="E669" s="209"/>
      <c r="F669" s="210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</row>
    <row r="670" customFormat="false" ht="15" hidden="false" customHeight="false" outlineLevel="0" collapsed="false">
      <c r="A670" s="209"/>
      <c r="B670" s="209"/>
      <c r="C670" s="209"/>
      <c r="D670" s="209"/>
      <c r="E670" s="209"/>
      <c r="F670" s="210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</row>
    <row r="671" customFormat="false" ht="15" hidden="false" customHeight="false" outlineLevel="0" collapsed="false">
      <c r="A671" s="209"/>
      <c r="B671" s="209"/>
      <c r="C671" s="209"/>
      <c r="D671" s="209"/>
      <c r="E671" s="209"/>
      <c r="F671" s="210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</row>
    <row r="672" customFormat="false" ht="15" hidden="false" customHeight="false" outlineLevel="0" collapsed="false">
      <c r="A672" s="209"/>
      <c r="B672" s="209"/>
      <c r="C672" s="209"/>
      <c r="D672" s="209"/>
      <c r="E672" s="209"/>
      <c r="F672" s="210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</row>
    <row r="673" customFormat="false" ht="15" hidden="false" customHeight="false" outlineLevel="0" collapsed="false">
      <c r="A673" s="209"/>
      <c r="B673" s="209"/>
      <c r="C673" s="209"/>
      <c r="D673" s="209"/>
      <c r="E673" s="209"/>
      <c r="F673" s="210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</row>
    <row r="674" customFormat="false" ht="15" hidden="false" customHeight="false" outlineLevel="0" collapsed="false">
      <c r="A674" s="209"/>
      <c r="B674" s="209"/>
      <c r="C674" s="209"/>
      <c r="D674" s="209"/>
      <c r="E674" s="209"/>
      <c r="F674" s="210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</row>
    <row r="675" customFormat="false" ht="15" hidden="false" customHeight="false" outlineLevel="0" collapsed="false">
      <c r="A675" s="209"/>
      <c r="B675" s="209"/>
      <c r="C675" s="209"/>
      <c r="D675" s="209"/>
      <c r="E675" s="209"/>
      <c r="F675" s="210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</row>
    <row r="676" customFormat="false" ht="15" hidden="false" customHeight="false" outlineLevel="0" collapsed="false">
      <c r="A676" s="209"/>
      <c r="B676" s="209"/>
      <c r="C676" s="209"/>
      <c r="D676" s="209"/>
      <c r="E676" s="209"/>
      <c r="F676" s="210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</row>
    <row r="677" customFormat="false" ht="15" hidden="false" customHeight="false" outlineLevel="0" collapsed="false">
      <c r="A677" s="209"/>
      <c r="B677" s="209"/>
      <c r="C677" s="209"/>
      <c r="D677" s="209"/>
      <c r="E677" s="209"/>
      <c r="F677" s="210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</row>
    <row r="678" customFormat="false" ht="15" hidden="false" customHeight="false" outlineLevel="0" collapsed="false">
      <c r="A678" s="209"/>
      <c r="B678" s="209"/>
      <c r="C678" s="209"/>
      <c r="D678" s="209"/>
      <c r="E678" s="209"/>
      <c r="F678" s="210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</row>
    <row r="679" customFormat="false" ht="15" hidden="false" customHeight="false" outlineLevel="0" collapsed="false">
      <c r="A679" s="209"/>
      <c r="B679" s="209"/>
      <c r="C679" s="209"/>
      <c r="D679" s="209"/>
      <c r="E679" s="209"/>
      <c r="F679" s="210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</row>
    <row r="680" customFormat="false" ht="15" hidden="false" customHeight="false" outlineLevel="0" collapsed="false">
      <c r="A680" s="209"/>
      <c r="B680" s="209"/>
      <c r="C680" s="209"/>
      <c r="D680" s="209"/>
      <c r="E680" s="209"/>
      <c r="F680" s="210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</row>
    <row r="681" customFormat="false" ht="15" hidden="false" customHeight="false" outlineLevel="0" collapsed="false">
      <c r="A681" s="209"/>
      <c r="B681" s="209"/>
      <c r="C681" s="209"/>
      <c r="D681" s="209"/>
      <c r="E681" s="209"/>
      <c r="F681" s="210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</row>
    <row r="682" customFormat="false" ht="15" hidden="false" customHeight="false" outlineLevel="0" collapsed="false">
      <c r="A682" s="209"/>
      <c r="B682" s="209"/>
      <c r="C682" s="209"/>
      <c r="D682" s="209"/>
      <c r="E682" s="209"/>
      <c r="F682" s="210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</row>
    <row r="683" customFormat="false" ht="15" hidden="false" customHeight="false" outlineLevel="0" collapsed="false">
      <c r="A683" s="209"/>
      <c r="B683" s="209"/>
      <c r="C683" s="209"/>
      <c r="D683" s="209"/>
      <c r="E683" s="209"/>
      <c r="F683" s="210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</row>
    <row r="684" customFormat="false" ht="15" hidden="false" customHeight="false" outlineLevel="0" collapsed="false">
      <c r="A684" s="209"/>
      <c r="B684" s="209"/>
      <c r="C684" s="209"/>
      <c r="D684" s="209"/>
      <c r="E684" s="209"/>
      <c r="F684" s="210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</row>
    <row r="685" customFormat="false" ht="15" hidden="false" customHeight="false" outlineLevel="0" collapsed="false">
      <c r="A685" s="209"/>
      <c r="B685" s="209"/>
      <c r="C685" s="209"/>
      <c r="D685" s="209"/>
      <c r="E685" s="209"/>
      <c r="F685" s="210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</row>
    <row r="686" customFormat="false" ht="15" hidden="false" customHeight="false" outlineLevel="0" collapsed="false">
      <c r="A686" s="209"/>
      <c r="B686" s="209"/>
      <c r="C686" s="209"/>
      <c r="D686" s="209"/>
      <c r="E686" s="209"/>
      <c r="F686" s="210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</row>
    <row r="687" customFormat="false" ht="15" hidden="false" customHeight="false" outlineLevel="0" collapsed="false">
      <c r="A687" s="209"/>
      <c r="B687" s="209"/>
      <c r="C687" s="209"/>
      <c r="D687" s="209"/>
      <c r="E687" s="209"/>
      <c r="F687" s="210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</row>
    <row r="688" customFormat="false" ht="15" hidden="false" customHeight="false" outlineLevel="0" collapsed="false">
      <c r="A688" s="209"/>
      <c r="B688" s="209"/>
      <c r="C688" s="209"/>
      <c r="D688" s="209"/>
      <c r="E688" s="209"/>
      <c r="F688" s="210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</row>
    <row r="689" customFormat="false" ht="15" hidden="false" customHeight="false" outlineLevel="0" collapsed="false">
      <c r="A689" s="209"/>
      <c r="B689" s="209"/>
      <c r="C689" s="209"/>
      <c r="D689" s="209"/>
      <c r="E689" s="209"/>
      <c r="F689" s="210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</row>
    <row r="690" customFormat="false" ht="15" hidden="false" customHeight="false" outlineLevel="0" collapsed="false">
      <c r="A690" s="209"/>
      <c r="B690" s="209"/>
      <c r="C690" s="209"/>
      <c r="D690" s="209"/>
      <c r="E690" s="209"/>
      <c r="F690" s="210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</row>
    <row r="691" customFormat="false" ht="15" hidden="false" customHeight="false" outlineLevel="0" collapsed="false">
      <c r="A691" s="209"/>
      <c r="B691" s="209"/>
      <c r="C691" s="209"/>
      <c r="D691" s="209"/>
      <c r="E691" s="209"/>
      <c r="F691" s="210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</row>
    <row r="692" customFormat="false" ht="15" hidden="false" customHeight="false" outlineLevel="0" collapsed="false">
      <c r="A692" s="209"/>
      <c r="B692" s="209"/>
      <c r="C692" s="209"/>
      <c r="D692" s="209"/>
      <c r="E692" s="209"/>
      <c r="F692" s="210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</row>
    <row r="693" customFormat="false" ht="15" hidden="false" customHeight="false" outlineLevel="0" collapsed="false">
      <c r="A693" s="209"/>
      <c r="B693" s="209"/>
      <c r="C693" s="209"/>
      <c r="D693" s="209"/>
      <c r="E693" s="209"/>
      <c r="F693" s="210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</row>
    <row r="694" customFormat="false" ht="15" hidden="false" customHeight="false" outlineLevel="0" collapsed="false">
      <c r="A694" s="209"/>
      <c r="B694" s="209"/>
      <c r="C694" s="209"/>
      <c r="D694" s="209"/>
      <c r="E694" s="209"/>
      <c r="F694" s="210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</row>
    <row r="695" customFormat="false" ht="15" hidden="false" customHeight="false" outlineLevel="0" collapsed="false">
      <c r="A695" s="209"/>
      <c r="B695" s="209"/>
      <c r="C695" s="209"/>
      <c r="D695" s="209"/>
      <c r="E695" s="209"/>
      <c r="F695" s="210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</row>
    <row r="696" customFormat="false" ht="15" hidden="false" customHeight="false" outlineLevel="0" collapsed="false">
      <c r="A696" s="209"/>
      <c r="B696" s="209"/>
      <c r="C696" s="209"/>
      <c r="D696" s="209"/>
      <c r="E696" s="209"/>
      <c r="F696" s="210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</row>
    <row r="697" customFormat="false" ht="15" hidden="false" customHeight="false" outlineLevel="0" collapsed="false">
      <c r="A697" s="209"/>
      <c r="B697" s="209"/>
      <c r="C697" s="209"/>
      <c r="D697" s="209"/>
      <c r="E697" s="209"/>
      <c r="F697" s="210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</row>
    <row r="698" customFormat="false" ht="15" hidden="false" customHeight="false" outlineLevel="0" collapsed="false">
      <c r="A698" s="209"/>
      <c r="B698" s="209"/>
      <c r="C698" s="209"/>
      <c r="D698" s="209"/>
      <c r="E698" s="209"/>
      <c r="F698" s="210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</row>
    <row r="699" customFormat="false" ht="15" hidden="false" customHeight="false" outlineLevel="0" collapsed="false">
      <c r="A699" s="209"/>
      <c r="B699" s="209"/>
      <c r="C699" s="209"/>
      <c r="D699" s="209"/>
      <c r="E699" s="209"/>
      <c r="F699" s="210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</row>
    <row r="700" customFormat="false" ht="15" hidden="false" customHeight="false" outlineLevel="0" collapsed="false">
      <c r="A700" s="209"/>
      <c r="B700" s="209"/>
      <c r="C700" s="209"/>
      <c r="D700" s="209"/>
      <c r="E700" s="209"/>
      <c r="F700" s="210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</row>
    <row r="701" customFormat="false" ht="15" hidden="false" customHeight="false" outlineLevel="0" collapsed="false">
      <c r="A701" s="209"/>
      <c r="B701" s="209"/>
      <c r="C701" s="209"/>
      <c r="D701" s="209"/>
      <c r="E701" s="209"/>
      <c r="F701" s="210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</row>
    <row r="702" customFormat="false" ht="15" hidden="false" customHeight="false" outlineLevel="0" collapsed="false">
      <c r="A702" s="209"/>
      <c r="B702" s="209"/>
      <c r="C702" s="209"/>
      <c r="D702" s="209"/>
      <c r="E702" s="209"/>
      <c r="F702" s="210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</row>
    <row r="703" customFormat="false" ht="15" hidden="false" customHeight="false" outlineLevel="0" collapsed="false">
      <c r="A703" s="209"/>
      <c r="B703" s="209"/>
      <c r="C703" s="209"/>
      <c r="D703" s="209"/>
      <c r="E703" s="209"/>
      <c r="F703" s="210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</row>
    <row r="704" customFormat="false" ht="15" hidden="false" customHeight="false" outlineLevel="0" collapsed="false">
      <c r="A704" s="209"/>
      <c r="B704" s="209"/>
      <c r="C704" s="209"/>
      <c r="D704" s="209"/>
      <c r="E704" s="209"/>
      <c r="F704" s="210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</row>
    <row r="705" customFormat="false" ht="15" hidden="false" customHeight="false" outlineLevel="0" collapsed="false">
      <c r="A705" s="209"/>
      <c r="B705" s="209"/>
      <c r="C705" s="209"/>
      <c r="D705" s="209"/>
      <c r="E705" s="209"/>
      <c r="F705" s="210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</row>
    <row r="706" customFormat="false" ht="15" hidden="false" customHeight="false" outlineLevel="0" collapsed="false">
      <c r="A706" s="209"/>
      <c r="B706" s="209"/>
      <c r="C706" s="209"/>
      <c r="D706" s="209"/>
      <c r="E706" s="209"/>
      <c r="F706" s="210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</row>
    <row r="707" customFormat="false" ht="15" hidden="false" customHeight="false" outlineLevel="0" collapsed="false">
      <c r="A707" s="209"/>
      <c r="B707" s="209"/>
      <c r="C707" s="209"/>
      <c r="D707" s="209"/>
      <c r="E707" s="209"/>
      <c r="F707" s="210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</row>
    <row r="708" customFormat="false" ht="15" hidden="false" customHeight="false" outlineLevel="0" collapsed="false">
      <c r="A708" s="209"/>
      <c r="B708" s="209"/>
      <c r="C708" s="209"/>
      <c r="D708" s="209"/>
      <c r="E708" s="209"/>
      <c r="F708" s="210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</row>
    <row r="709" customFormat="false" ht="15" hidden="false" customHeight="false" outlineLevel="0" collapsed="false">
      <c r="A709" s="209"/>
      <c r="B709" s="209"/>
      <c r="C709" s="209"/>
      <c r="D709" s="209"/>
      <c r="E709" s="209"/>
      <c r="F709" s="210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</row>
    <row r="710" customFormat="false" ht="15" hidden="false" customHeight="false" outlineLevel="0" collapsed="false">
      <c r="A710" s="209"/>
      <c r="B710" s="209"/>
      <c r="C710" s="209"/>
      <c r="D710" s="209"/>
      <c r="E710" s="209"/>
      <c r="F710" s="210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</row>
    <row r="711" customFormat="false" ht="15" hidden="false" customHeight="false" outlineLevel="0" collapsed="false">
      <c r="A711" s="209"/>
      <c r="B711" s="209"/>
      <c r="C711" s="209"/>
      <c r="D711" s="209"/>
      <c r="E711" s="209"/>
      <c r="F711" s="210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</row>
    <row r="712" customFormat="false" ht="15" hidden="false" customHeight="false" outlineLevel="0" collapsed="false">
      <c r="A712" s="209"/>
      <c r="B712" s="209"/>
      <c r="C712" s="209"/>
      <c r="D712" s="209"/>
      <c r="E712" s="209"/>
      <c r="F712" s="210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</row>
    <row r="713" customFormat="false" ht="15" hidden="false" customHeight="false" outlineLevel="0" collapsed="false">
      <c r="A713" s="209"/>
      <c r="B713" s="209"/>
      <c r="C713" s="209"/>
      <c r="D713" s="209"/>
      <c r="E713" s="209"/>
      <c r="F713" s="210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</row>
    <row r="714" customFormat="false" ht="15" hidden="false" customHeight="false" outlineLevel="0" collapsed="false">
      <c r="A714" s="209"/>
      <c r="B714" s="209"/>
      <c r="C714" s="209"/>
      <c r="D714" s="209"/>
      <c r="E714" s="209"/>
      <c r="F714" s="210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</row>
    <row r="715" customFormat="false" ht="15" hidden="false" customHeight="false" outlineLevel="0" collapsed="false">
      <c r="A715" s="209"/>
      <c r="B715" s="209"/>
      <c r="C715" s="209"/>
      <c r="D715" s="209"/>
      <c r="E715" s="209"/>
      <c r="F715" s="210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</row>
    <row r="716" customFormat="false" ht="15" hidden="false" customHeight="false" outlineLevel="0" collapsed="false">
      <c r="A716" s="209"/>
      <c r="B716" s="209"/>
      <c r="C716" s="209"/>
      <c r="D716" s="209"/>
      <c r="E716" s="209"/>
      <c r="F716" s="210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</row>
    <row r="717" customFormat="false" ht="15" hidden="false" customHeight="false" outlineLevel="0" collapsed="false">
      <c r="A717" s="209"/>
      <c r="B717" s="209"/>
      <c r="C717" s="209"/>
      <c r="D717" s="209"/>
      <c r="E717" s="209"/>
      <c r="F717" s="210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</row>
    <row r="718" customFormat="false" ht="15" hidden="false" customHeight="false" outlineLevel="0" collapsed="false">
      <c r="A718" s="209"/>
      <c r="B718" s="209"/>
      <c r="C718" s="209"/>
      <c r="D718" s="209"/>
      <c r="E718" s="209"/>
      <c r="F718" s="210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</row>
    <row r="719" customFormat="false" ht="15" hidden="false" customHeight="false" outlineLevel="0" collapsed="false">
      <c r="A719" s="209"/>
      <c r="B719" s="209"/>
      <c r="C719" s="209"/>
      <c r="D719" s="209"/>
      <c r="E719" s="209"/>
      <c r="F719" s="210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</row>
    <row r="720" customFormat="false" ht="15" hidden="false" customHeight="false" outlineLevel="0" collapsed="false">
      <c r="A720" s="209"/>
      <c r="B720" s="209"/>
      <c r="C720" s="209"/>
      <c r="D720" s="209"/>
      <c r="E720" s="209"/>
      <c r="F720" s="210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</row>
    <row r="721" customFormat="false" ht="15" hidden="false" customHeight="false" outlineLevel="0" collapsed="false">
      <c r="A721" s="209"/>
      <c r="B721" s="209"/>
      <c r="C721" s="209"/>
      <c r="D721" s="209"/>
      <c r="E721" s="209"/>
      <c r="F721" s="210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</row>
    <row r="722" customFormat="false" ht="15" hidden="false" customHeight="false" outlineLevel="0" collapsed="false">
      <c r="A722" s="209"/>
      <c r="B722" s="209"/>
      <c r="C722" s="209"/>
      <c r="D722" s="209"/>
      <c r="E722" s="209"/>
      <c r="F722" s="210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</row>
    <row r="723" customFormat="false" ht="15" hidden="false" customHeight="false" outlineLevel="0" collapsed="false">
      <c r="A723" s="209"/>
      <c r="B723" s="209"/>
      <c r="C723" s="209"/>
      <c r="D723" s="209"/>
      <c r="E723" s="209"/>
      <c r="F723" s="210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</row>
    <row r="724" customFormat="false" ht="15" hidden="false" customHeight="false" outlineLevel="0" collapsed="false">
      <c r="A724" s="209"/>
      <c r="B724" s="209"/>
      <c r="C724" s="209"/>
      <c r="D724" s="209"/>
      <c r="E724" s="209"/>
      <c r="F724" s="210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</row>
    <row r="725" customFormat="false" ht="15" hidden="false" customHeight="false" outlineLevel="0" collapsed="false">
      <c r="A725" s="209"/>
      <c r="B725" s="209"/>
      <c r="C725" s="209"/>
      <c r="D725" s="209"/>
      <c r="E725" s="209"/>
      <c r="F725" s="210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</row>
    <row r="726" customFormat="false" ht="15" hidden="false" customHeight="false" outlineLevel="0" collapsed="false">
      <c r="A726" s="209"/>
      <c r="B726" s="209"/>
      <c r="C726" s="209"/>
      <c r="D726" s="209"/>
      <c r="E726" s="209"/>
      <c r="F726" s="210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</row>
    <row r="727" customFormat="false" ht="15" hidden="false" customHeight="false" outlineLevel="0" collapsed="false">
      <c r="A727" s="209"/>
      <c r="B727" s="209"/>
      <c r="C727" s="209"/>
      <c r="D727" s="209"/>
      <c r="E727" s="209"/>
      <c r="F727" s="210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</row>
    <row r="728" customFormat="false" ht="15" hidden="false" customHeight="false" outlineLevel="0" collapsed="false">
      <c r="A728" s="209"/>
      <c r="B728" s="209"/>
      <c r="C728" s="209"/>
      <c r="D728" s="209"/>
      <c r="E728" s="209"/>
      <c r="F728" s="210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</row>
    <row r="729" customFormat="false" ht="15" hidden="false" customHeight="false" outlineLevel="0" collapsed="false">
      <c r="A729" s="209"/>
      <c r="B729" s="209"/>
      <c r="C729" s="209"/>
      <c r="D729" s="209"/>
      <c r="E729" s="209"/>
      <c r="F729" s="210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</row>
    <row r="730" customFormat="false" ht="15" hidden="false" customHeight="false" outlineLevel="0" collapsed="false">
      <c r="A730" s="209"/>
      <c r="B730" s="209"/>
      <c r="C730" s="209"/>
      <c r="D730" s="209"/>
      <c r="E730" s="209"/>
      <c r="F730" s="210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</row>
    <row r="731" customFormat="false" ht="15" hidden="false" customHeight="false" outlineLevel="0" collapsed="false">
      <c r="A731" s="209"/>
      <c r="B731" s="209"/>
      <c r="C731" s="209"/>
      <c r="D731" s="209"/>
      <c r="E731" s="209"/>
      <c r="F731" s="210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</row>
    <row r="732" customFormat="false" ht="15" hidden="false" customHeight="false" outlineLevel="0" collapsed="false">
      <c r="A732" s="209"/>
      <c r="B732" s="209"/>
      <c r="C732" s="209"/>
      <c r="D732" s="209"/>
      <c r="E732" s="209"/>
      <c r="F732" s="210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</row>
    <row r="733" customFormat="false" ht="15" hidden="false" customHeight="false" outlineLevel="0" collapsed="false">
      <c r="A733" s="209"/>
      <c r="B733" s="209"/>
      <c r="C733" s="209"/>
      <c r="D733" s="209"/>
      <c r="E733" s="209"/>
      <c r="F733" s="210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</row>
    <row r="734" customFormat="false" ht="15" hidden="false" customHeight="false" outlineLevel="0" collapsed="false">
      <c r="A734" s="209"/>
      <c r="B734" s="209"/>
      <c r="C734" s="209"/>
      <c r="D734" s="209"/>
      <c r="E734" s="209"/>
      <c r="F734" s="210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</row>
    <row r="735" customFormat="false" ht="15" hidden="false" customHeight="false" outlineLevel="0" collapsed="false">
      <c r="A735" s="209"/>
      <c r="B735" s="209"/>
      <c r="C735" s="209"/>
      <c r="D735" s="209"/>
      <c r="E735" s="209"/>
      <c r="F735" s="210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</row>
    <row r="736" customFormat="false" ht="15" hidden="false" customHeight="false" outlineLevel="0" collapsed="false">
      <c r="A736" s="209"/>
      <c r="B736" s="209"/>
      <c r="C736" s="209"/>
      <c r="D736" s="209"/>
      <c r="E736" s="209"/>
      <c r="F736" s="210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</row>
    <row r="737" customFormat="false" ht="15" hidden="false" customHeight="false" outlineLevel="0" collapsed="false">
      <c r="A737" s="209"/>
      <c r="B737" s="209"/>
      <c r="C737" s="209"/>
      <c r="D737" s="209"/>
      <c r="E737" s="209"/>
      <c r="F737" s="210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</row>
    <row r="738" customFormat="false" ht="15" hidden="false" customHeight="false" outlineLevel="0" collapsed="false">
      <c r="A738" s="209"/>
      <c r="B738" s="209"/>
      <c r="C738" s="209"/>
      <c r="D738" s="209"/>
      <c r="E738" s="209"/>
      <c r="F738" s="210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</row>
    <row r="739" customFormat="false" ht="15" hidden="false" customHeight="false" outlineLevel="0" collapsed="false">
      <c r="A739" s="209"/>
      <c r="B739" s="209"/>
      <c r="C739" s="209"/>
      <c r="D739" s="209"/>
      <c r="E739" s="209"/>
      <c r="F739" s="210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</row>
    <row r="740" customFormat="false" ht="15" hidden="false" customHeight="false" outlineLevel="0" collapsed="false">
      <c r="A740" s="209"/>
      <c r="B740" s="209"/>
      <c r="C740" s="209"/>
      <c r="D740" s="209"/>
      <c r="E740" s="209"/>
      <c r="F740" s="210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</row>
    <row r="741" customFormat="false" ht="15" hidden="false" customHeight="false" outlineLevel="0" collapsed="false">
      <c r="A741" s="209"/>
      <c r="B741" s="209"/>
      <c r="C741" s="209"/>
      <c r="D741" s="209"/>
      <c r="E741" s="209"/>
      <c r="F741" s="210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</row>
    <row r="742" customFormat="false" ht="15" hidden="false" customHeight="false" outlineLevel="0" collapsed="false">
      <c r="A742" s="209"/>
      <c r="B742" s="209"/>
      <c r="C742" s="209"/>
      <c r="D742" s="209"/>
      <c r="E742" s="209"/>
      <c r="F742" s="210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</row>
    <row r="743" customFormat="false" ht="15" hidden="false" customHeight="false" outlineLevel="0" collapsed="false">
      <c r="A743" s="209"/>
      <c r="B743" s="209"/>
      <c r="C743" s="209"/>
      <c r="D743" s="209"/>
      <c r="E743" s="209"/>
      <c r="F743" s="210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</row>
    <row r="744" customFormat="false" ht="15" hidden="false" customHeight="false" outlineLevel="0" collapsed="false">
      <c r="A744" s="209"/>
      <c r="B744" s="209"/>
      <c r="C744" s="209"/>
      <c r="D744" s="209"/>
      <c r="E744" s="209"/>
      <c r="F744" s="210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</row>
    <row r="745" customFormat="false" ht="15" hidden="false" customHeight="false" outlineLevel="0" collapsed="false">
      <c r="A745" s="209"/>
      <c r="B745" s="209"/>
      <c r="C745" s="209"/>
      <c r="D745" s="209"/>
      <c r="E745" s="209"/>
      <c r="F745" s="210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</row>
    <row r="746" customFormat="false" ht="15" hidden="false" customHeight="false" outlineLevel="0" collapsed="false">
      <c r="A746" s="209"/>
      <c r="B746" s="209"/>
      <c r="C746" s="209"/>
      <c r="D746" s="209"/>
      <c r="E746" s="209"/>
      <c r="F746" s="210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</row>
    <row r="747" customFormat="false" ht="15" hidden="false" customHeight="false" outlineLevel="0" collapsed="false">
      <c r="A747" s="209"/>
      <c r="B747" s="209"/>
      <c r="C747" s="209"/>
      <c r="D747" s="209"/>
      <c r="E747" s="209"/>
      <c r="F747" s="210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</row>
    <row r="748" customFormat="false" ht="15" hidden="false" customHeight="false" outlineLevel="0" collapsed="false">
      <c r="A748" s="209"/>
      <c r="B748" s="209"/>
      <c r="C748" s="209"/>
      <c r="D748" s="209"/>
      <c r="E748" s="209"/>
      <c r="F748" s="210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</row>
    <row r="749" customFormat="false" ht="15" hidden="false" customHeight="false" outlineLevel="0" collapsed="false">
      <c r="A749" s="209"/>
      <c r="B749" s="209"/>
      <c r="C749" s="209"/>
      <c r="D749" s="209"/>
      <c r="E749" s="209"/>
      <c r="F749" s="210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</row>
    <row r="750" customFormat="false" ht="15" hidden="false" customHeight="false" outlineLevel="0" collapsed="false">
      <c r="A750" s="209"/>
      <c r="B750" s="209"/>
      <c r="C750" s="209"/>
      <c r="D750" s="209"/>
      <c r="E750" s="209"/>
      <c r="F750" s="210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</row>
    <row r="751" customFormat="false" ht="15" hidden="false" customHeight="false" outlineLevel="0" collapsed="false">
      <c r="A751" s="209"/>
      <c r="B751" s="209"/>
      <c r="C751" s="209"/>
      <c r="D751" s="209"/>
      <c r="E751" s="209"/>
      <c r="F751" s="210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</row>
    <row r="752" customFormat="false" ht="15" hidden="false" customHeight="false" outlineLevel="0" collapsed="false">
      <c r="A752" s="209"/>
      <c r="B752" s="209"/>
      <c r="C752" s="209"/>
      <c r="D752" s="209"/>
      <c r="E752" s="209"/>
      <c r="F752" s="210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</row>
    <row r="753" customFormat="false" ht="15" hidden="false" customHeight="false" outlineLevel="0" collapsed="false">
      <c r="A753" s="209"/>
      <c r="B753" s="209"/>
      <c r="C753" s="209"/>
      <c r="D753" s="209"/>
      <c r="E753" s="209"/>
      <c r="F753" s="210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</row>
    <row r="754" customFormat="false" ht="15" hidden="false" customHeight="false" outlineLevel="0" collapsed="false">
      <c r="A754" s="209"/>
      <c r="B754" s="209"/>
      <c r="C754" s="209"/>
      <c r="D754" s="209"/>
      <c r="E754" s="209"/>
      <c r="F754" s="210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</row>
    <row r="755" customFormat="false" ht="15" hidden="false" customHeight="false" outlineLevel="0" collapsed="false">
      <c r="A755" s="209"/>
      <c r="B755" s="209"/>
      <c r="C755" s="209"/>
      <c r="D755" s="209"/>
      <c r="E755" s="209"/>
      <c r="F755" s="210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</row>
    <row r="756" customFormat="false" ht="15" hidden="false" customHeight="false" outlineLevel="0" collapsed="false">
      <c r="A756" s="209"/>
      <c r="B756" s="209"/>
      <c r="C756" s="209"/>
      <c r="D756" s="209"/>
      <c r="E756" s="209"/>
      <c r="F756" s="210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</row>
    <row r="757" customFormat="false" ht="15" hidden="false" customHeight="false" outlineLevel="0" collapsed="false">
      <c r="A757" s="209"/>
      <c r="B757" s="209"/>
      <c r="C757" s="209"/>
      <c r="D757" s="209"/>
      <c r="E757" s="209"/>
      <c r="F757" s="210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</row>
    <row r="758" customFormat="false" ht="15" hidden="false" customHeight="false" outlineLevel="0" collapsed="false">
      <c r="A758" s="209"/>
      <c r="B758" s="209"/>
      <c r="C758" s="209"/>
      <c r="D758" s="209"/>
      <c r="E758" s="209"/>
      <c r="F758" s="210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</row>
    <row r="759" customFormat="false" ht="15" hidden="false" customHeight="false" outlineLevel="0" collapsed="false">
      <c r="A759" s="209"/>
      <c r="B759" s="209"/>
      <c r="C759" s="209"/>
      <c r="D759" s="209"/>
      <c r="E759" s="209"/>
      <c r="F759" s="210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</row>
    <row r="760" customFormat="false" ht="15" hidden="false" customHeight="false" outlineLevel="0" collapsed="false">
      <c r="A760" s="209"/>
      <c r="B760" s="209"/>
      <c r="C760" s="209"/>
      <c r="D760" s="209"/>
      <c r="E760" s="209"/>
      <c r="F760" s="210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</row>
    <row r="761" customFormat="false" ht="15" hidden="false" customHeight="false" outlineLevel="0" collapsed="false">
      <c r="A761" s="209"/>
      <c r="B761" s="209"/>
      <c r="C761" s="209"/>
      <c r="D761" s="209"/>
      <c r="E761" s="209"/>
      <c r="F761" s="210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</row>
    <row r="762" customFormat="false" ht="15" hidden="false" customHeight="false" outlineLevel="0" collapsed="false">
      <c r="A762" s="209"/>
      <c r="B762" s="209"/>
      <c r="C762" s="209"/>
      <c r="D762" s="209"/>
      <c r="E762" s="209"/>
      <c r="F762" s="210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</row>
    <row r="763" customFormat="false" ht="15" hidden="false" customHeight="false" outlineLevel="0" collapsed="false">
      <c r="A763" s="209"/>
      <c r="B763" s="209"/>
      <c r="C763" s="209"/>
      <c r="D763" s="209"/>
      <c r="E763" s="209"/>
      <c r="F763" s="210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</row>
    <row r="764" customFormat="false" ht="15" hidden="false" customHeight="false" outlineLevel="0" collapsed="false">
      <c r="A764" s="209"/>
      <c r="B764" s="209"/>
      <c r="C764" s="209"/>
      <c r="D764" s="209"/>
      <c r="E764" s="209"/>
      <c r="F764" s="210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</row>
    <row r="765" customFormat="false" ht="15" hidden="false" customHeight="false" outlineLevel="0" collapsed="false">
      <c r="A765" s="209"/>
      <c r="B765" s="209"/>
      <c r="C765" s="209"/>
      <c r="D765" s="209"/>
      <c r="E765" s="209"/>
      <c r="F765" s="210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</row>
    <row r="766" customFormat="false" ht="15" hidden="false" customHeight="false" outlineLevel="0" collapsed="false">
      <c r="A766" s="209"/>
      <c r="B766" s="209"/>
      <c r="C766" s="209"/>
      <c r="D766" s="209"/>
      <c r="E766" s="209"/>
      <c r="F766" s="210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</row>
    <row r="767" customFormat="false" ht="15" hidden="false" customHeight="false" outlineLevel="0" collapsed="false">
      <c r="A767" s="209"/>
      <c r="B767" s="209"/>
      <c r="C767" s="209"/>
      <c r="D767" s="209"/>
      <c r="E767" s="209"/>
      <c r="F767" s="210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</row>
    <row r="768" customFormat="false" ht="15" hidden="false" customHeight="false" outlineLevel="0" collapsed="false">
      <c r="A768" s="209"/>
      <c r="B768" s="209"/>
      <c r="C768" s="209"/>
      <c r="D768" s="209"/>
      <c r="E768" s="209"/>
      <c r="F768" s="210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</row>
    <row r="769" customFormat="false" ht="15" hidden="false" customHeight="false" outlineLevel="0" collapsed="false">
      <c r="A769" s="209"/>
      <c r="B769" s="209"/>
      <c r="C769" s="209"/>
      <c r="D769" s="209"/>
      <c r="E769" s="209"/>
      <c r="F769" s="210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</row>
    <row r="770" customFormat="false" ht="15" hidden="false" customHeight="false" outlineLevel="0" collapsed="false">
      <c r="A770" s="209"/>
      <c r="B770" s="209"/>
      <c r="C770" s="209"/>
      <c r="D770" s="209"/>
      <c r="E770" s="209"/>
      <c r="F770" s="210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</row>
    <row r="771" customFormat="false" ht="15" hidden="false" customHeight="false" outlineLevel="0" collapsed="false">
      <c r="A771" s="209"/>
      <c r="B771" s="209"/>
      <c r="C771" s="209"/>
      <c r="D771" s="209"/>
      <c r="E771" s="209"/>
      <c r="F771" s="210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</row>
    <row r="772" customFormat="false" ht="15" hidden="false" customHeight="false" outlineLevel="0" collapsed="false">
      <c r="A772" s="209"/>
      <c r="B772" s="209"/>
      <c r="C772" s="209"/>
      <c r="D772" s="209"/>
      <c r="E772" s="209"/>
      <c r="F772" s="210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</row>
    <row r="773" customFormat="false" ht="15" hidden="false" customHeight="false" outlineLevel="0" collapsed="false">
      <c r="A773" s="209"/>
      <c r="B773" s="209"/>
      <c r="C773" s="209"/>
      <c r="D773" s="209"/>
      <c r="E773" s="209"/>
      <c r="F773" s="210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</row>
    <row r="774" customFormat="false" ht="15" hidden="false" customHeight="false" outlineLevel="0" collapsed="false">
      <c r="A774" s="209"/>
      <c r="B774" s="209"/>
      <c r="C774" s="209"/>
      <c r="D774" s="209"/>
      <c r="E774" s="209"/>
      <c r="F774" s="210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</row>
    <row r="775" customFormat="false" ht="15" hidden="false" customHeight="false" outlineLevel="0" collapsed="false">
      <c r="A775" s="209"/>
      <c r="B775" s="209"/>
      <c r="C775" s="209"/>
      <c r="D775" s="209"/>
      <c r="E775" s="209"/>
      <c r="F775" s="210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</row>
    <row r="776" customFormat="false" ht="15" hidden="false" customHeight="false" outlineLevel="0" collapsed="false">
      <c r="A776" s="209"/>
      <c r="B776" s="209"/>
      <c r="C776" s="209"/>
      <c r="D776" s="209"/>
      <c r="E776" s="209"/>
      <c r="F776" s="210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</row>
    <row r="777" customFormat="false" ht="15" hidden="false" customHeight="false" outlineLevel="0" collapsed="false">
      <c r="A777" s="209"/>
      <c r="B777" s="209"/>
      <c r="C777" s="209"/>
      <c r="D777" s="209"/>
      <c r="E777" s="209"/>
      <c r="F777" s="210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</row>
    <row r="778" customFormat="false" ht="15" hidden="false" customHeight="false" outlineLevel="0" collapsed="false">
      <c r="A778" s="209"/>
      <c r="B778" s="209"/>
      <c r="C778" s="209"/>
      <c r="D778" s="209"/>
      <c r="E778" s="209"/>
      <c r="F778" s="210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</row>
    <row r="779" customFormat="false" ht="15" hidden="false" customHeight="false" outlineLevel="0" collapsed="false">
      <c r="A779" s="209"/>
      <c r="B779" s="209"/>
      <c r="C779" s="209"/>
      <c r="D779" s="209"/>
      <c r="E779" s="209"/>
      <c r="F779" s="210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</row>
    <row r="780" customFormat="false" ht="15" hidden="false" customHeight="false" outlineLevel="0" collapsed="false">
      <c r="A780" s="209"/>
      <c r="B780" s="209"/>
      <c r="C780" s="209"/>
      <c r="D780" s="209"/>
      <c r="E780" s="209"/>
      <c r="F780" s="210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</row>
    <row r="781" customFormat="false" ht="15" hidden="false" customHeight="false" outlineLevel="0" collapsed="false">
      <c r="A781" s="209"/>
      <c r="B781" s="209"/>
      <c r="C781" s="209"/>
      <c r="D781" s="209"/>
      <c r="E781" s="209"/>
      <c r="F781" s="210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</row>
    <row r="782" customFormat="false" ht="15" hidden="false" customHeight="false" outlineLevel="0" collapsed="false">
      <c r="A782" s="209"/>
      <c r="B782" s="209"/>
      <c r="C782" s="209"/>
      <c r="D782" s="209"/>
      <c r="E782" s="209"/>
      <c r="F782" s="210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</row>
    <row r="783" customFormat="false" ht="15" hidden="false" customHeight="false" outlineLevel="0" collapsed="false">
      <c r="A783" s="209"/>
      <c r="B783" s="209"/>
      <c r="C783" s="209"/>
      <c r="D783" s="209"/>
      <c r="E783" s="209"/>
      <c r="F783" s="210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</row>
    <row r="784" customFormat="false" ht="15" hidden="false" customHeight="false" outlineLevel="0" collapsed="false">
      <c r="A784" s="209"/>
      <c r="B784" s="209"/>
      <c r="C784" s="209"/>
      <c r="D784" s="209"/>
      <c r="E784" s="209"/>
      <c r="F784" s="210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</row>
    <row r="785" customFormat="false" ht="15" hidden="false" customHeight="false" outlineLevel="0" collapsed="false">
      <c r="A785" s="209"/>
      <c r="B785" s="209"/>
      <c r="C785" s="209"/>
      <c r="D785" s="209"/>
      <c r="E785" s="209"/>
      <c r="F785" s="210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</row>
    <row r="786" customFormat="false" ht="15" hidden="false" customHeight="false" outlineLevel="0" collapsed="false">
      <c r="A786" s="209"/>
      <c r="B786" s="209"/>
      <c r="C786" s="209"/>
      <c r="D786" s="209"/>
      <c r="E786" s="209"/>
      <c r="F786" s="210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</row>
    <row r="787" customFormat="false" ht="15" hidden="false" customHeight="false" outlineLevel="0" collapsed="false">
      <c r="A787" s="209"/>
      <c r="B787" s="209"/>
      <c r="C787" s="209"/>
      <c r="D787" s="209"/>
      <c r="E787" s="209"/>
      <c r="F787" s="210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</row>
    <row r="788" customFormat="false" ht="15" hidden="false" customHeight="false" outlineLevel="0" collapsed="false">
      <c r="A788" s="209"/>
      <c r="B788" s="209"/>
      <c r="C788" s="209"/>
      <c r="D788" s="209"/>
      <c r="E788" s="209"/>
      <c r="F788" s="210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</row>
    <row r="789" customFormat="false" ht="15" hidden="false" customHeight="false" outlineLevel="0" collapsed="false">
      <c r="A789" s="209"/>
      <c r="B789" s="209"/>
      <c r="C789" s="209"/>
      <c r="D789" s="209"/>
      <c r="E789" s="209"/>
      <c r="F789" s="210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</row>
    <row r="790" customFormat="false" ht="15" hidden="false" customHeight="false" outlineLevel="0" collapsed="false">
      <c r="A790" s="209"/>
      <c r="B790" s="209"/>
      <c r="C790" s="209"/>
      <c r="D790" s="209"/>
      <c r="E790" s="209"/>
      <c r="F790" s="210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</row>
    <row r="791" customFormat="false" ht="15" hidden="false" customHeight="false" outlineLevel="0" collapsed="false">
      <c r="A791" s="209"/>
      <c r="B791" s="209"/>
      <c r="C791" s="209"/>
      <c r="D791" s="209"/>
      <c r="E791" s="209"/>
      <c r="F791" s="210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</row>
    <row r="792" customFormat="false" ht="15" hidden="false" customHeight="false" outlineLevel="0" collapsed="false">
      <c r="A792" s="209"/>
      <c r="B792" s="209"/>
      <c r="C792" s="209"/>
      <c r="D792" s="209"/>
      <c r="E792" s="209"/>
      <c r="F792" s="210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</row>
    <row r="793" customFormat="false" ht="15" hidden="false" customHeight="false" outlineLevel="0" collapsed="false">
      <c r="A793" s="209"/>
      <c r="B793" s="209"/>
      <c r="C793" s="209"/>
      <c r="D793" s="209"/>
      <c r="E793" s="209"/>
      <c r="F793" s="210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</row>
    <row r="794" customFormat="false" ht="15" hidden="false" customHeight="false" outlineLevel="0" collapsed="false">
      <c r="A794" s="209"/>
      <c r="B794" s="209"/>
      <c r="C794" s="209"/>
      <c r="D794" s="209"/>
      <c r="E794" s="209"/>
      <c r="F794" s="210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</row>
    <row r="795" customFormat="false" ht="15" hidden="false" customHeight="false" outlineLevel="0" collapsed="false">
      <c r="A795" s="209"/>
      <c r="B795" s="209"/>
      <c r="C795" s="209"/>
      <c r="D795" s="209"/>
      <c r="E795" s="209"/>
      <c r="F795" s="210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</row>
    <row r="796" customFormat="false" ht="15" hidden="false" customHeight="false" outlineLevel="0" collapsed="false">
      <c r="A796" s="209"/>
      <c r="B796" s="209"/>
      <c r="C796" s="209"/>
      <c r="D796" s="209"/>
      <c r="E796" s="209"/>
      <c r="F796" s="210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</row>
    <row r="797" customFormat="false" ht="15" hidden="false" customHeight="false" outlineLevel="0" collapsed="false">
      <c r="A797" s="209"/>
      <c r="B797" s="209"/>
      <c r="C797" s="209"/>
      <c r="D797" s="209"/>
      <c r="E797" s="209"/>
      <c r="F797" s="210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</row>
    <row r="798" customFormat="false" ht="15" hidden="false" customHeight="false" outlineLevel="0" collapsed="false">
      <c r="A798" s="209"/>
      <c r="B798" s="209"/>
      <c r="C798" s="209"/>
      <c r="D798" s="209"/>
      <c r="E798" s="209"/>
      <c r="F798" s="210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</row>
    <row r="799" customFormat="false" ht="15" hidden="false" customHeight="false" outlineLevel="0" collapsed="false">
      <c r="A799" s="209"/>
      <c r="B799" s="209"/>
      <c r="C799" s="209"/>
      <c r="D799" s="209"/>
      <c r="E799" s="209"/>
      <c r="F799" s="210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</row>
    <row r="800" customFormat="false" ht="15" hidden="false" customHeight="false" outlineLevel="0" collapsed="false">
      <c r="A800" s="209"/>
      <c r="B800" s="209"/>
      <c r="C800" s="209"/>
      <c r="D800" s="209"/>
      <c r="E800" s="209"/>
      <c r="F800" s="210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</row>
    <row r="801" customFormat="false" ht="15" hidden="false" customHeight="false" outlineLevel="0" collapsed="false">
      <c r="A801" s="209"/>
      <c r="B801" s="209"/>
      <c r="C801" s="209"/>
      <c r="D801" s="209"/>
      <c r="E801" s="209"/>
      <c r="F801" s="210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</row>
    <row r="802" customFormat="false" ht="15" hidden="false" customHeight="false" outlineLevel="0" collapsed="false">
      <c r="A802" s="209"/>
      <c r="B802" s="209"/>
      <c r="C802" s="209"/>
      <c r="D802" s="209"/>
      <c r="E802" s="209"/>
      <c r="F802" s="210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</row>
    <row r="803" customFormat="false" ht="15" hidden="false" customHeight="false" outlineLevel="0" collapsed="false">
      <c r="A803" s="209"/>
      <c r="B803" s="209"/>
      <c r="C803" s="209"/>
      <c r="D803" s="209"/>
      <c r="E803" s="209"/>
      <c r="F803" s="210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</row>
    <row r="804" customFormat="false" ht="15" hidden="false" customHeight="false" outlineLevel="0" collapsed="false">
      <c r="A804" s="209"/>
      <c r="B804" s="209"/>
      <c r="C804" s="209"/>
      <c r="D804" s="209"/>
      <c r="E804" s="209"/>
      <c r="F804" s="210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</row>
    <row r="805" customFormat="false" ht="15" hidden="false" customHeight="false" outlineLevel="0" collapsed="false">
      <c r="A805" s="209"/>
      <c r="B805" s="209"/>
      <c r="C805" s="209"/>
      <c r="D805" s="209"/>
      <c r="E805" s="209"/>
      <c r="F805" s="210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</row>
    <row r="806" customFormat="false" ht="15" hidden="false" customHeight="false" outlineLevel="0" collapsed="false">
      <c r="A806" s="209"/>
      <c r="B806" s="209"/>
      <c r="C806" s="209"/>
      <c r="D806" s="209"/>
      <c r="E806" s="209"/>
      <c r="F806" s="210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</row>
    <row r="807" customFormat="false" ht="15" hidden="false" customHeight="false" outlineLevel="0" collapsed="false">
      <c r="A807" s="209"/>
      <c r="B807" s="209"/>
      <c r="C807" s="209"/>
      <c r="D807" s="209"/>
      <c r="E807" s="209"/>
      <c r="F807" s="210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</row>
    <row r="808" customFormat="false" ht="15" hidden="false" customHeight="false" outlineLevel="0" collapsed="false">
      <c r="A808" s="209"/>
      <c r="B808" s="209"/>
      <c r="C808" s="209"/>
      <c r="D808" s="209"/>
      <c r="E808" s="209"/>
      <c r="F808" s="210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</row>
    <row r="809" customFormat="false" ht="15" hidden="false" customHeight="false" outlineLevel="0" collapsed="false">
      <c r="A809" s="209"/>
      <c r="B809" s="209"/>
      <c r="C809" s="209"/>
      <c r="D809" s="209"/>
      <c r="E809" s="209"/>
      <c r="F809" s="210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</row>
    <row r="810" customFormat="false" ht="15" hidden="false" customHeight="false" outlineLevel="0" collapsed="false">
      <c r="A810" s="209"/>
      <c r="B810" s="209"/>
      <c r="C810" s="209"/>
      <c r="D810" s="209"/>
      <c r="E810" s="209"/>
      <c r="F810" s="210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</row>
    <row r="811" customFormat="false" ht="15" hidden="false" customHeight="false" outlineLevel="0" collapsed="false">
      <c r="A811" s="209"/>
      <c r="B811" s="209"/>
      <c r="C811" s="209"/>
      <c r="D811" s="209"/>
      <c r="E811" s="209"/>
      <c r="F811" s="210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</row>
    <row r="812" customFormat="false" ht="15" hidden="false" customHeight="false" outlineLevel="0" collapsed="false">
      <c r="A812" s="209"/>
      <c r="B812" s="209"/>
      <c r="C812" s="209"/>
      <c r="D812" s="209"/>
      <c r="E812" s="209"/>
      <c r="F812" s="210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</row>
    <row r="813" customFormat="false" ht="15" hidden="false" customHeight="false" outlineLevel="0" collapsed="false">
      <c r="A813" s="209"/>
      <c r="B813" s="209"/>
      <c r="C813" s="209"/>
      <c r="D813" s="209"/>
      <c r="E813" s="209"/>
      <c r="F813" s="210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</row>
    <row r="814" customFormat="false" ht="15" hidden="false" customHeight="false" outlineLevel="0" collapsed="false">
      <c r="A814" s="209"/>
      <c r="B814" s="209"/>
      <c r="C814" s="209"/>
      <c r="D814" s="209"/>
      <c r="E814" s="209"/>
      <c r="F814" s="210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</row>
    <row r="815" customFormat="false" ht="15" hidden="false" customHeight="false" outlineLevel="0" collapsed="false">
      <c r="A815" s="209"/>
      <c r="B815" s="209"/>
      <c r="C815" s="209"/>
      <c r="D815" s="209"/>
      <c r="E815" s="209"/>
      <c r="F815" s="210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</row>
    <row r="816" customFormat="false" ht="15" hidden="false" customHeight="false" outlineLevel="0" collapsed="false">
      <c r="A816" s="209"/>
      <c r="B816" s="209"/>
      <c r="C816" s="209"/>
      <c r="D816" s="209"/>
      <c r="E816" s="209"/>
      <c r="F816" s="210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</row>
    <row r="817" customFormat="false" ht="15" hidden="false" customHeight="false" outlineLevel="0" collapsed="false">
      <c r="A817" s="209"/>
      <c r="B817" s="209"/>
      <c r="C817" s="209"/>
      <c r="D817" s="209"/>
      <c r="E817" s="209"/>
      <c r="F817" s="210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</row>
    <row r="818" customFormat="false" ht="15" hidden="false" customHeight="false" outlineLevel="0" collapsed="false">
      <c r="A818" s="209"/>
      <c r="B818" s="209"/>
      <c r="C818" s="209"/>
      <c r="D818" s="209"/>
      <c r="E818" s="209"/>
      <c r="F818" s="210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</row>
    <row r="819" customFormat="false" ht="15" hidden="false" customHeight="false" outlineLevel="0" collapsed="false">
      <c r="A819" s="209"/>
      <c r="B819" s="209"/>
      <c r="C819" s="209"/>
      <c r="D819" s="209"/>
      <c r="E819" s="209"/>
      <c r="F819" s="210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</row>
    <row r="820" customFormat="false" ht="15" hidden="false" customHeight="false" outlineLevel="0" collapsed="false">
      <c r="A820" s="209"/>
      <c r="B820" s="209"/>
      <c r="C820" s="209"/>
      <c r="D820" s="209"/>
      <c r="E820" s="209"/>
      <c r="F820" s="210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</row>
    <row r="821" customFormat="false" ht="15" hidden="false" customHeight="false" outlineLevel="0" collapsed="false">
      <c r="A821" s="209"/>
      <c r="B821" s="209"/>
      <c r="C821" s="209"/>
      <c r="D821" s="209"/>
      <c r="E821" s="209"/>
      <c r="F821" s="210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</row>
    <row r="822" customFormat="false" ht="15" hidden="false" customHeight="false" outlineLevel="0" collapsed="false">
      <c r="A822" s="209"/>
      <c r="B822" s="209"/>
      <c r="C822" s="209"/>
      <c r="D822" s="209"/>
      <c r="E822" s="209"/>
      <c r="F822" s="210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</row>
    <row r="823" customFormat="false" ht="15" hidden="false" customHeight="false" outlineLevel="0" collapsed="false">
      <c r="A823" s="209"/>
      <c r="B823" s="209"/>
      <c r="C823" s="209"/>
      <c r="D823" s="209"/>
      <c r="E823" s="209"/>
      <c r="F823" s="210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</row>
    <row r="824" customFormat="false" ht="15" hidden="false" customHeight="false" outlineLevel="0" collapsed="false">
      <c r="A824" s="209"/>
      <c r="B824" s="209"/>
      <c r="C824" s="209"/>
      <c r="D824" s="209"/>
      <c r="E824" s="209"/>
      <c r="F824" s="210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</row>
    <row r="825" customFormat="false" ht="15" hidden="false" customHeight="false" outlineLevel="0" collapsed="false">
      <c r="A825" s="209"/>
      <c r="B825" s="209"/>
      <c r="C825" s="209"/>
      <c r="D825" s="209"/>
      <c r="E825" s="209"/>
      <c r="F825" s="210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</row>
    <row r="826" customFormat="false" ht="15" hidden="false" customHeight="false" outlineLevel="0" collapsed="false">
      <c r="A826" s="209"/>
      <c r="B826" s="209"/>
      <c r="C826" s="209"/>
      <c r="D826" s="209"/>
      <c r="E826" s="209"/>
      <c r="F826" s="210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</row>
    <row r="827" customFormat="false" ht="15" hidden="false" customHeight="false" outlineLevel="0" collapsed="false">
      <c r="A827" s="209"/>
      <c r="B827" s="209"/>
      <c r="C827" s="209"/>
      <c r="D827" s="209"/>
      <c r="E827" s="209"/>
      <c r="F827" s="210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</row>
    <row r="828" customFormat="false" ht="15" hidden="false" customHeight="false" outlineLevel="0" collapsed="false">
      <c r="A828" s="209"/>
      <c r="B828" s="209"/>
      <c r="C828" s="209"/>
      <c r="D828" s="209"/>
      <c r="E828" s="209"/>
      <c r="F828" s="210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</row>
    <row r="829" customFormat="false" ht="15" hidden="false" customHeight="false" outlineLevel="0" collapsed="false">
      <c r="A829" s="209"/>
      <c r="B829" s="209"/>
      <c r="C829" s="209"/>
      <c r="D829" s="209"/>
      <c r="E829" s="209"/>
      <c r="F829" s="210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</row>
    <row r="830" customFormat="false" ht="15" hidden="false" customHeight="false" outlineLevel="0" collapsed="false">
      <c r="A830" s="209"/>
      <c r="B830" s="209"/>
      <c r="C830" s="209"/>
      <c r="D830" s="209"/>
      <c r="E830" s="209"/>
      <c r="F830" s="210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</row>
    <row r="831" customFormat="false" ht="15" hidden="false" customHeight="false" outlineLevel="0" collapsed="false">
      <c r="A831" s="209"/>
      <c r="B831" s="209"/>
      <c r="C831" s="209"/>
      <c r="D831" s="209"/>
      <c r="E831" s="209"/>
      <c r="F831" s="210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</row>
    <row r="832" customFormat="false" ht="15" hidden="false" customHeight="false" outlineLevel="0" collapsed="false">
      <c r="A832" s="209"/>
      <c r="B832" s="209"/>
      <c r="C832" s="209"/>
      <c r="D832" s="209"/>
      <c r="E832" s="209"/>
      <c r="F832" s="210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</row>
    <row r="833" customFormat="false" ht="15" hidden="false" customHeight="false" outlineLevel="0" collapsed="false">
      <c r="A833" s="209"/>
      <c r="B833" s="209"/>
      <c r="C833" s="209"/>
      <c r="D833" s="209"/>
      <c r="E833" s="209"/>
      <c r="F833" s="210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</row>
    <row r="834" customFormat="false" ht="15" hidden="false" customHeight="false" outlineLevel="0" collapsed="false">
      <c r="A834" s="209"/>
      <c r="B834" s="209"/>
      <c r="C834" s="209"/>
      <c r="D834" s="209"/>
      <c r="E834" s="209"/>
      <c r="F834" s="210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</row>
    <row r="835" customFormat="false" ht="15" hidden="false" customHeight="false" outlineLevel="0" collapsed="false">
      <c r="A835" s="209"/>
      <c r="B835" s="209"/>
      <c r="C835" s="209"/>
      <c r="D835" s="209"/>
      <c r="E835" s="209"/>
      <c r="F835" s="210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</row>
    <row r="836" customFormat="false" ht="15" hidden="false" customHeight="false" outlineLevel="0" collapsed="false">
      <c r="A836" s="209"/>
      <c r="B836" s="209"/>
      <c r="C836" s="209"/>
      <c r="D836" s="209"/>
      <c r="E836" s="209"/>
      <c r="F836" s="210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</row>
    <row r="837" customFormat="false" ht="15" hidden="false" customHeight="false" outlineLevel="0" collapsed="false">
      <c r="A837" s="209"/>
      <c r="B837" s="209"/>
      <c r="C837" s="209"/>
      <c r="D837" s="209"/>
      <c r="E837" s="209"/>
      <c r="F837" s="210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</row>
    <row r="838" customFormat="false" ht="15" hidden="false" customHeight="false" outlineLevel="0" collapsed="false">
      <c r="A838" s="209"/>
      <c r="B838" s="209"/>
      <c r="C838" s="209"/>
      <c r="D838" s="209"/>
      <c r="E838" s="209"/>
      <c r="F838" s="210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</row>
    <row r="839" customFormat="false" ht="15" hidden="false" customHeight="false" outlineLevel="0" collapsed="false">
      <c r="A839" s="209"/>
      <c r="B839" s="209"/>
      <c r="C839" s="209"/>
      <c r="D839" s="209"/>
      <c r="E839" s="209"/>
      <c r="F839" s="210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</row>
    <row r="840" customFormat="false" ht="15" hidden="false" customHeight="false" outlineLevel="0" collapsed="false">
      <c r="A840" s="209"/>
      <c r="B840" s="209"/>
      <c r="C840" s="209"/>
      <c r="D840" s="209"/>
      <c r="E840" s="209"/>
      <c r="F840" s="210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</row>
    <row r="841" customFormat="false" ht="15" hidden="false" customHeight="false" outlineLevel="0" collapsed="false">
      <c r="A841" s="209"/>
      <c r="B841" s="209"/>
      <c r="C841" s="209"/>
      <c r="D841" s="209"/>
      <c r="E841" s="209"/>
      <c r="F841" s="210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</row>
    <row r="842" customFormat="false" ht="15" hidden="false" customHeight="false" outlineLevel="0" collapsed="false">
      <c r="A842" s="209"/>
      <c r="B842" s="209"/>
      <c r="C842" s="209"/>
      <c r="D842" s="209"/>
      <c r="E842" s="209"/>
      <c r="F842" s="210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</row>
    <row r="843" customFormat="false" ht="15" hidden="false" customHeight="false" outlineLevel="0" collapsed="false">
      <c r="A843" s="209"/>
      <c r="B843" s="209"/>
      <c r="C843" s="209"/>
      <c r="D843" s="209"/>
      <c r="E843" s="209"/>
      <c r="F843" s="210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</row>
    <row r="844" customFormat="false" ht="15" hidden="false" customHeight="false" outlineLevel="0" collapsed="false">
      <c r="A844" s="209"/>
      <c r="B844" s="209"/>
      <c r="C844" s="209"/>
      <c r="D844" s="209"/>
      <c r="E844" s="209"/>
      <c r="F844" s="210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</row>
    <row r="845" customFormat="false" ht="15" hidden="false" customHeight="false" outlineLevel="0" collapsed="false">
      <c r="A845" s="209"/>
      <c r="B845" s="209"/>
      <c r="C845" s="209"/>
      <c r="D845" s="209"/>
      <c r="E845" s="209"/>
      <c r="F845" s="210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</row>
    <row r="846" customFormat="false" ht="15" hidden="false" customHeight="false" outlineLevel="0" collapsed="false">
      <c r="A846" s="209"/>
      <c r="B846" s="209"/>
      <c r="C846" s="209"/>
      <c r="D846" s="209"/>
      <c r="E846" s="209"/>
      <c r="F846" s="210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</row>
    <row r="847" customFormat="false" ht="15" hidden="false" customHeight="false" outlineLevel="0" collapsed="false">
      <c r="A847" s="209"/>
      <c r="B847" s="209"/>
      <c r="C847" s="209"/>
      <c r="D847" s="209"/>
      <c r="E847" s="209"/>
      <c r="F847" s="210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</row>
    <row r="848" customFormat="false" ht="15" hidden="false" customHeight="false" outlineLevel="0" collapsed="false">
      <c r="A848" s="209"/>
      <c r="B848" s="209"/>
      <c r="C848" s="209"/>
      <c r="D848" s="209"/>
      <c r="E848" s="209"/>
      <c r="F848" s="210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</row>
    <row r="849" customFormat="false" ht="15" hidden="false" customHeight="false" outlineLevel="0" collapsed="false">
      <c r="A849" s="209"/>
      <c r="B849" s="209"/>
      <c r="C849" s="209"/>
      <c r="D849" s="209"/>
      <c r="E849" s="209"/>
      <c r="F849" s="210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</row>
    <row r="850" customFormat="false" ht="15" hidden="false" customHeight="false" outlineLevel="0" collapsed="false">
      <c r="A850" s="209"/>
      <c r="B850" s="209"/>
      <c r="C850" s="209"/>
      <c r="D850" s="209"/>
      <c r="E850" s="209"/>
      <c r="F850" s="210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</row>
    <row r="851" customFormat="false" ht="15" hidden="false" customHeight="false" outlineLevel="0" collapsed="false">
      <c r="A851" s="209"/>
      <c r="B851" s="209"/>
      <c r="C851" s="209"/>
      <c r="D851" s="209"/>
      <c r="E851" s="209"/>
      <c r="F851" s="210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</row>
    <row r="852" customFormat="false" ht="15" hidden="false" customHeight="false" outlineLevel="0" collapsed="false">
      <c r="A852" s="209"/>
      <c r="B852" s="209"/>
      <c r="C852" s="209"/>
      <c r="D852" s="209"/>
      <c r="E852" s="209"/>
      <c r="F852" s="210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</row>
    <row r="853" customFormat="false" ht="15" hidden="false" customHeight="false" outlineLevel="0" collapsed="false">
      <c r="A853" s="209"/>
      <c r="B853" s="209"/>
      <c r="C853" s="209"/>
      <c r="D853" s="209"/>
      <c r="E853" s="209"/>
      <c r="F853" s="210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</row>
    <row r="854" customFormat="false" ht="15" hidden="false" customHeight="false" outlineLevel="0" collapsed="false">
      <c r="A854" s="209"/>
      <c r="B854" s="209"/>
      <c r="C854" s="209"/>
      <c r="D854" s="209"/>
      <c r="E854" s="209"/>
      <c r="F854" s="210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</row>
    <row r="855" customFormat="false" ht="15" hidden="false" customHeight="false" outlineLevel="0" collapsed="false">
      <c r="A855" s="209"/>
      <c r="B855" s="209"/>
      <c r="C855" s="209"/>
      <c r="D855" s="209"/>
      <c r="E855" s="209"/>
      <c r="F855" s="210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</row>
    <row r="856" customFormat="false" ht="15" hidden="false" customHeight="false" outlineLevel="0" collapsed="false">
      <c r="A856" s="209"/>
      <c r="B856" s="209"/>
      <c r="C856" s="209"/>
      <c r="D856" s="209"/>
      <c r="E856" s="209"/>
      <c r="F856" s="210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</row>
    <row r="857" customFormat="false" ht="15" hidden="false" customHeight="false" outlineLevel="0" collapsed="false">
      <c r="A857" s="209"/>
      <c r="B857" s="209"/>
      <c r="C857" s="209"/>
      <c r="D857" s="209"/>
      <c r="E857" s="209"/>
      <c r="F857" s="210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</row>
    <row r="858" customFormat="false" ht="15" hidden="false" customHeight="false" outlineLevel="0" collapsed="false">
      <c r="A858" s="209"/>
      <c r="B858" s="209"/>
      <c r="C858" s="209"/>
      <c r="D858" s="209"/>
      <c r="E858" s="209"/>
      <c r="F858" s="210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</row>
    <row r="859" customFormat="false" ht="15" hidden="false" customHeight="false" outlineLevel="0" collapsed="false">
      <c r="A859" s="209"/>
      <c r="B859" s="209"/>
      <c r="C859" s="209"/>
      <c r="D859" s="209"/>
      <c r="E859" s="209"/>
      <c r="F859" s="210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</row>
    <row r="860" customFormat="false" ht="15" hidden="false" customHeight="false" outlineLevel="0" collapsed="false">
      <c r="A860" s="209"/>
      <c r="B860" s="209"/>
      <c r="C860" s="209"/>
      <c r="D860" s="209"/>
      <c r="E860" s="209"/>
      <c r="F860" s="210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</row>
    <row r="861" customFormat="false" ht="15" hidden="false" customHeight="false" outlineLevel="0" collapsed="false">
      <c r="A861" s="209"/>
      <c r="B861" s="209"/>
      <c r="C861" s="209"/>
      <c r="D861" s="209"/>
      <c r="E861" s="209"/>
      <c r="F861" s="210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</row>
    <row r="862" customFormat="false" ht="15" hidden="false" customHeight="false" outlineLevel="0" collapsed="false">
      <c r="A862" s="209"/>
      <c r="B862" s="209"/>
      <c r="C862" s="209"/>
      <c r="D862" s="209"/>
      <c r="E862" s="209"/>
      <c r="F862" s="210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</row>
    <row r="863" customFormat="false" ht="15" hidden="false" customHeight="false" outlineLevel="0" collapsed="false">
      <c r="A863" s="209"/>
      <c r="B863" s="209"/>
      <c r="C863" s="209"/>
      <c r="D863" s="209"/>
      <c r="E863" s="209"/>
      <c r="F863" s="210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</row>
    <row r="864" customFormat="false" ht="15" hidden="false" customHeight="false" outlineLevel="0" collapsed="false">
      <c r="A864" s="209"/>
      <c r="B864" s="209"/>
      <c r="C864" s="209"/>
      <c r="D864" s="209"/>
      <c r="E864" s="209"/>
      <c r="F864" s="210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</row>
    <row r="865" customFormat="false" ht="15" hidden="false" customHeight="false" outlineLevel="0" collapsed="false">
      <c r="A865" s="209"/>
      <c r="B865" s="209"/>
      <c r="C865" s="209"/>
      <c r="D865" s="209"/>
      <c r="E865" s="209"/>
      <c r="F865" s="210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</row>
    <row r="866" customFormat="false" ht="15" hidden="false" customHeight="false" outlineLevel="0" collapsed="false">
      <c r="A866" s="209"/>
      <c r="B866" s="209"/>
      <c r="C866" s="209"/>
      <c r="D866" s="209"/>
      <c r="E866" s="209"/>
      <c r="F866" s="210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</row>
    <row r="867" customFormat="false" ht="15" hidden="false" customHeight="false" outlineLevel="0" collapsed="false">
      <c r="A867" s="209"/>
      <c r="B867" s="209"/>
      <c r="C867" s="209"/>
      <c r="D867" s="209"/>
      <c r="E867" s="209"/>
      <c r="F867" s="210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</row>
    <row r="868" customFormat="false" ht="15" hidden="false" customHeight="false" outlineLevel="0" collapsed="false">
      <c r="A868" s="209"/>
      <c r="B868" s="209"/>
      <c r="C868" s="209"/>
      <c r="D868" s="209"/>
      <c r="E868" s="209"/>
      <c r="F868" s="210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</row>
    <row r="869" customFormat="false" ht="15" hidden="false" customHeight="false" outlineLevel="0" collapsed="false">
      <c r="A869" s="209"/>
      <c r="B869" s="209"/>
      <c r="C869" s="209"/>
      <c r="D869" s="209"/>
      <c r="E869" s="209"/>
      <c r="F869" s="210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</row>
    <row r="870" customFormat="false" ht="15" hidden="false" customHeight="false" outlineLevel="0" collapsed="false">
      <c r="A870" s="209"/>
      <c r="B870" s="209"/>
      <c r="C870" s="209"/>
      <c r="D870" s="209"/>
      <c r="E870" s="209"/>
      <c r="F870" s="210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</row>
    <row r="871" customFormat="false" ht="15" hidden="false" customHeight="false" outlineLevel="0" collapsed="false">
      <c r="A871" s="209"/>
      <c r="B871" s="209"/>
      <c r="C871" s="209"/>
      <c r="D871" s="209"/>
      <c r="E871" s="209"/>
      <c r="F871" s="210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</row>
    <row r="872" customFormat="false" ht="15" hidden="false" customHeight="false" outlineLevel="0" collapsed="false">
      <c r="A872" s="209"/>
      <c r="B872" s="209"/>
      <c r="C872" s="209"/>
      <c r="D872" s="209"/>
      <c r="E872" s="209"/>
      <c r="F872" s="210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</row>
    <row r="873" customFormat="false" ht="15" hidden="false" customHeight="false" outlineLevel="0" collapsed="false">
      <c r="A873" s="209"/>
      <c r="B873" s="209"/>
      <c r="C873" s="209"/>
      <c r="D873" s="209"/>
      <c r="E873" s="209"/>
      <c r="F873" s="210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</row>
    <row r="874" customFormat="false" ht="15" hidden="false" customHeight="false" outlineLevel="0" collapsed="false">
      <c r="A874" s="209"/>
      <c r="B874" s="209"/>
      <c r="C874" s="209"/>
      <c r="D874" s="209"/>
      <c r="E874" s="209"/>
      <c r="F874" s="210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</row>
    <row r="875" customFormat="false" ht="15" hidden="false" customHeight="false" outlineLevel="0" collapsed="false">
      <c r="A875" s="209"/>
      <c r="B875" s="209"/>
      <c r="C875" s="209"/>
      <c r="D875" s="209"/>
      <c r="E875" s="209"/>
      <c r="F875" s="210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</row>
    <row r="876" customFormat="false" ht="15" hidden="false" customHeight="false" outlineLevel="0" collapsed="false">
      <c r="A876" s="209"/>
      <c r="B876" s="209"/>
      <c r="C876" s="209"/>
      <c r="D876" s="209"/>
      <c r="E876" s="209"/>
      <c r="F876" s="210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</row>
    <row r="877" customFormat="false" ht="15" hidden="false" customHeight="false" outlineLevel="0" collapsed="false">
      <c r="A877" s="209"/>
      <c r="B877" s="209"/>
      <c r="C877" s="209"/>
      <c r="D877" s="209"/>
      <c r="E877" s="209"/>
      <c r="F877" s="210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</row>
    <row r="878" customFormat="false" ht="15" hidden="false" customHeight="false" outlineLevel="0" collapsed="false">
      <c r="A878" s="209"/>
      <c r="B878" s="209"/>
      <c r="C878" s="209"/>
      <c r="D878" s="209"/>
      <c r="E878" s="209"/>
      <c r="F878" s="210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</row>
    <row r="879" customFormat="false" ht="15" hidden="false" customHeight="false" outlineLevel="0" collapsed="false">
      <c r="A879" s="209"/>
      <c r="B879" s="209"/>
      <c r="C879" s="209"/>
      <c r="D879" s="209"/>
      <c r="E879" s="209"/>
      <c r="F879" s="210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</row>
    <row r="880" customFormat="false" ht="15" hidden="false" customHeight="false" outlineLevel="0" collapsed="false">
      <c r="A880" s="209"/>
      <c r="B880" s="209"/>
      <c r="C880" s="209"/>
      <c r="D880" s="209"/>
      <c r="E880" s="209"/>
      <c r="F880" s="210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</row>
    <row r="881" customFormat="false" ht="15" hidden="false" customHeight="false" outlineLevel="0" collapsed="false">
      <c r="A881" s="209"/>
      <c r="B881" s="209"/>
      <c r="C881" s="209"/>
      <c r="D881" s="209"/>
      <c r="E881" s="209"/>
      <c r="F881" s="210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</row>
    <row r="882" customFormat="false" ht="15" hidden="false" customHeight="false" outlineLevel="0" collapsed="false">
      <c r="A882" s="209"/>
      <c r="B882" s="209"/>
      <c r="C882" s="209"/>
      <c r="D882" s="209"/>
      <c r="E882" s="209"/>
      <c r="F882" s="210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</row>
    <row r="883" customFormat="false" ht="15" hidden="false" customHeight="false" outlineLevel="0" collapsed="false">
      <c r="A883" s="209"/>
      <c r="B883" s="209"/>
      <c r="C883" s="209"/>
      <c r="D883" s="209"/>
      <c r="E883" s="209"/>
      <c r="F883" s="210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</row>
    <row r="884" customFormat="false" ht="15" hidden="false" customHeight="false" outlineLevel="0" collapsed="false">
      <c r="A884" s="209"/>
      <c r="B884" s="209"/>
      <c r="C884" s="209"/>
      <c r="D884" s="209"/>
      <c r="E884" s="209"/>
      <c r="F884" s="210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</row>
    <row r="885" customFormat="false" ht="15" hidden="false" customHeight="false" outlineLevel="0" collapsed="false">
      <c r="A885" s="209"/>
      <c r="B885" s="209"/>
      <c r="C885" s="209"/>
      <c r="D885" s="209"/>
      <c r="E885" s="209"/>
      <c r="F885" s="210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</row>
    <row r="886" customFormat="false" ht="15" hidden="false" customHeight="false" outlineLevel="0" collapsed="false">
      <c r="A886" s="209"/>
      <c r="B886" s="209"/>
      <c r="C886" s="209"/>
      <c r="D886" s="209"/>
      <c r="E886" s="209"/>
      <c r="F886" s="210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</row>
    <row r="887" customFormat="false" ht="15" hidden="false" customHeight="false" outlineLevel="0" collapsed="false">
      <c r="A887" s="209"/>
      <c r="B887" s="209"/>
      <c r="C887" s="209"/>
      <c r="D887" s="209"/>
      <c r="E887" s="209"/>
      <c r="F887" s="210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</row>
    <row r="888" customFormat="false" ht="15" hidden="false" customHeight="false" outlineLevel="0" collapsed="false">
      <c r="A888" s="209"/>
      <c r="B888" s="209"/>
      <c r="C888" s="209"/>
      <c r="D888" s="209"/>
      <c r="E888" s="209"/>
      <c r="F888" s="210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</row>
    <row r="889" customFormat="false" ht="15" hidden="false" customHeight="false" outlineLevel="0" collapsed="false">
      <c r="A889" s="209"/>
      <c r="B889" s="209"/>
      <c r="C889" s="209"/>
      <c r="D889" s="209"/>
      <c r="E889" s="209"/>
      <c r="F889" s="210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</row>
    <row r="890" customFormat="false" ht="15" hidden="false" customHeight="false" outlineLevel="0" collapsed="false">
      <c r="A890" s="209"/>
      <c r="B890" s="209"/>
      <c r="C890" s="209"/>
      <c r="D890" s="209"/>
      <c r="E890" s="209"/>
      <c r="F890" s="210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</row>
    <row r="891" customFormat="false" ht="15" hidden="false" customHeight="false" outlineLevel="0" collapsed="false">
      <c r="A891" s="209"/>
      <c r="B891" s="209"/>
      <c r="C891" s="209"/>
      <c r="D891" s="209"/>
      <c r="E891" s="209"/>
      <c r="F891" s="210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</row>
    <row r="892" customFormat="false" ht="15" hidden="false" customHeight="false" outlineLevel="0" collapsed="false">
      <c r="A892" s="209"/>
      <c r="B892" s="209"/>
      <c r="C892" s="209"/>
      <c r="D892" s="209"/>
      <c r="E892" s="209"/>
      <c r="F892" s="210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</row>
    <row r="893" customFormat="false" ht="15" hidden="false" customHeight="false" outlineLevel="0" collapsed="false">
      <c r="A893" s="209"/>
      <c r="B893" s="209"/>
      <c r="C893" s="209"/>
      <c r="D893" s="209"/>
      <c r="E893" s="209"/>
      <c r="F893" s="210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</row>
    <row r="894" customFormat="false" ht="15" hidden="false" customHeight="false" outlineLevel="0" collapsed="false">
      <c r="A894" s="209"/>
      <c r="B894" s="209"/>
      <c r="C894" s="209"/>
      <c r="D894" s="209"/>
      <c r="E894" s="209"/>
      <c r="F894" s="210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</row>
    <row r="895" customFormat="false" ht="15" hidden="false" customHeight="false" outlineLevel="0" collapsed="false">
      <c r="A895" s="209"/>
      <c r="B895" s="209"/>
      <c r="C895" s="209"/>
      <c r="D895" s="209"/>
      <c r="E895" s="209"/>
      <c r="F895" s="210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</row>
    <row r="896" customFormat="false" ht="15" hidden="false" customHeight="false" outlineLevel="0" collapsed="false">
      <c r="A896" s="209"/>
      <c r="B896" s="209"/>
      <c r="C896" s="209"/>
      <c r="D896" s="209"/>
      <c r="E896" s="209"/>
      <c r="F896" s="210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</row>
    <row r="897" customFormat="false" ht="15" hidden="false" customHeight="false" outlineLevel="0" collapsed="false">
      <c r="A897" s="209"/>
      <c r="B897" s="209"/>
      <c r="C897" s="209"/>
      <c r="D897" s="209"/>
      <c r="E897" s="209"/>
      <c r="F897" s="210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</row>
    <row r="898" customFormat="false" ht="15" hidden="false" customHeight="false" outlineLevel="0" collapsed="false">
      <c r="A898" s="209"/>
      <c r="B898" s="209"/>
      <c r="C898" s="209"/>
      <c r="D898" s="209"/>
      <c r="E898" s="209"/>
      <c r="F898" s="210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</row>
    <row r="899" customFormat="false" ht="15" hidden="false" customHeight="false" outlineLevel="0" collapsed="false">
      <c r="A899" s="209"/>
      <c r="B899" s="209"/>
      <c r="C899" s="209"/>
      <c r="D899" s="209"/>
      <c r="E899" s="209"/>
      <c r="F899" s="210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</row>
    <row r="900" customFormat="false" ht="15" hidden="false" customHeight="false" outlineLevel="0" collapsed="false">
      <c r="A900" s="209"/>
      <c r="B900" s="209"/>
      <c r="C900" s="209"/>
      <c r="D900" s="209"/>
      <c r="E900" s="209"/>
      <c r="F900" s="210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</row>
    <row r="901" customFormat="false" ht="15" hidden="false" customHeight="false" outlineLevel="0" collapsed="false">
      <c r="A901" s="209"/>
      <c r="B901" s="209"/>
      <c r="C901" s="209"/>
      <c r="D901" s="209"/>
      <c r="E901" s="209"/>
      <c r="F901" s="210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</row>
    <row r="902" customFormat="false" ht="15" hidden="false" customHeight="false" outlineLevel="0" collapsed="false">
      <c r="A902" s="209"/>
      <c r="B902" s="209"/>
      <c r="C902" s="209"/>
      <c r="D902" s="209"/>
      <c r="E902" s="209"/>
      <c r="F902" s="210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</row>
    <row r="903" customFormat="false" ht="15" hidden="false" customHeight="false" outlineLevel="0" collapsed="false">
      <c r="A903" s="209"/>
      <c r="B903" s="209"/>
      <c r="C903" s="209"/>
      <c r="D903" s="209"/>
      <c r="E903" s="209"/>
      <c r="F903" s="210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</row>
    <row r="904" customFormat="false" ht="15" hidden="false" customHeight="false" outlineLevel="0" collapsed="false">
      <c r="A904" s="209"/>
      <c r="B904" s="209"/>
      <c r="C904" s="209"/>
      <c r="D904" s="209"/>
      <c r="E904" s="209"/>
      <c r="F904" s="210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</row>
    <row r="905" customFormat="false" ht="15" hidden="false" customHeight="false" outlineLevel="0" collapsed="false">
      <c r="A905" s="209"/>
      <c r="B905" s="209"/>
      <c r="C905" s="209"/>
      <c r="D905" s="209"/>
      <c r="E905" s="209"/>
      <c r="F905" s="210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</row>
    <row r="906" customFormat="false" ht="15" hidden="false" customHeight="false" outlineLevel="0" collapsed="false">
      <c r="A906" s="209"/>
      <c r="B906" s="209"/>
      <c r="C906" s="209"/>
      <c r="D906" s="209"/>
      <c r="E906" s="209"/>
      <c r="F906" s="210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</row>
    <row r="907" customFormat="false" ht="15" hidden="false" customHeight="false" outlineLevel="0" collapsed="false">
      <c r="A907" s="209"/>
      <c r="B907" s="209"/>
      <c r="C907" s="209"/>
      <c r="D907" s="209"/>
      <c r="E907" s="209"/>
      <c r="F907" s="210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</row>
    <row r="908" customFormat="false" ht="15" hidden="false" customHeight="false" outlineLevel="0" collapsed="false">
      <c r="A908" s="209"/>
      <c r="B908" s="209"/>
      <c r="C908" s="209"/>
      <c r="D908" s="209"/>
      <c r="E908" s="209"/>
      <c r="F908" s="210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</row>
    <row r="909" customFormat="false" ht="15" hidden="false" customHeight="false" outlineLevel="0" collapsed="false">
      <c r="A909" s="209"/>
      <c r="B909" s="209"/>
      <c r="C909" s="209"/>
      <c r="D909" s="209"/>
      <c r="E909" s="209"/>
      <c r="F909" s="210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</row>
    <row r="910" customFormat="false" ht="15" hidden="false" customHeight="false" outlineLevel="0" collapsed="false">
      <c r="A910" s="209"/>
      <c r="B910" s="209"/>
      <c r="C910" s="209"/>
      <c r="D910" s="209"/>
      <c r="E910" s="209"/>
      <c r="F910" s="210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</row>
    <row r="911" customFormat="false" ht="15" hidden="false" customHeight="false" outlineLevel="0" collapsed="false">
      <c r="A911" s="209"/>
      <c r="B911" s="209"/>
      <c r="C911" s="209"/>
      <c r="D911" s="209"/>
      <c r="E911" s="209"/>
      <c r="F911" s="210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</row>
    <row r="912" customFormat="false" ht="15" hidden="false" customHeight="false" outlineLevel="0" collapsed="false">
      <c r="A912" s="209"/>
      <c r="B912" s="209"/>
      <c r="C912" s="209"/>
      <c r="D912" s="209"/>
      <c r="E912" s="209"/>
      <c r="F912" s="210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</row>
    <row r="913" customFormat="false" ht="15" hidden="false" customHeight="false" outlineLevel="0" collapsed="false">
      <c r="A913" s="209"/>
      <c r="B913" s="209"/>
      <c r="C913" s="209"/>
      <c r="D913" s="209"/>
      <c r="E913" s="209"/>
      <c r="F913" s="210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</row>
    <row r="914" customFormat="false" ht="15" hidden="false" customHeight="false" outlineLevel="0" collapsed="false">
      <c r="A914" s="209"/>
      <c r="B914" s="209"/>
      <c r="C914" s="209"/>
      <c r="D914" s="209"/>
      <c r="E914" s="209"/>
      <c r="F914" s="210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</row>
    <row r="915" customFormat="false" ht="15" hidden="false" customHeight="false" outlineLevel="0" collapsed="false">
      <c r="A915" s="209"/>
      <c r="B915" s="209"/>
      <c r="C915" s="209"/>
      <c r="D915" s="209"/>
      <c r="E915" s="209"/>
      <c r="F915" s="210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</row>
    <row r="916" customFormat="false" ht="15" hidden="false" customHeight="false" outlineLevel="0" collapsed="false">
      <c r="A916" s="209"/>
      <c r="B916" s="209"/>
      <c r="C916" s="209"/>
      <c r="D916" s="209"/>
      <c r="E916" s="209"/>
      <c r="F916" s="210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</row>
    <row r="917" customFormat="false" ht="15" hidden="false" customHeight="false" outlineLevel="0" collapsed="false">
      <c r="A917" s="209"/>
      <c r="B917" s="209"/>
      <c r="C917" s="209"/>
      <c r="D917" s="209"/>
      <c r="E917" s="209"/>
      <c r="F917" s="210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</row>
    <row r="918" customFormat="false" ht="15" hidden="false" customHeight="false" outlineLevel="0" collapsed="false">
      <c r="A918" s="209"/>
      <c r="B918" s="209"/>
      <c r="C918" s="209"/>
      <c r="D918" s="209"/>
      <c r="E918" s="209"/>
      <c r="F918" s="210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</row>
    <row r="919" customFormat="false" ht="15" hidden="false" customHeight="false" outlineLevel="0" collapsed="false">
      <c r="A919" s="209"/>
      <c r="B919" s="209"/>
      <c r="C919" s="209"/>
      <c r="D919" s="209"/>
      <c r="E919" s="209"/>
      <c r="F919" s="210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</row>
    <row r="920" customFormat="false" ht="15" hidden="false" customHeight="false" outlineLevel="0" collapsed="false">
      <c r="A920" s="209"/>
      <c r="B920" s="209"/>
      <c r="C920" s="209"/>
      <c r="D920" s="209"/>
      <c r="E920" s="209"/>
      <c r="F920" s="210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</row>
    <row r="921" customFormat="false" ht="15" hidden="false" customHeight="false" outlineLevel="0" collapsed="false">
      <c r="A921" s="209"/>
      <c r="B921" s="209"/>
      <c r="C921" s="209"/>
      <c r="D921" s="209"/>
      <c r="E921" s="209"/>
      <c r="F921" s="210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</row>
    <row r="922" customFormat="false" ht="15" hidden="false" customHeight="false" outlineLevel="0" collapsed="false">
      <c r="A922" s="209"/>
      <c r="B922" s="209"/>
      <c r="C922" s="209"/>
      <c r="D922" s="209"/>
      <c r="E922" s="209"/>
      <c r="F922" s="210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</row>
    <row r="923" customFormat="false" ht="15" hidden="false" customHeight="false" outlineLevel="0" collapsed="false">
      <c r="A923" s="209"/>
      <c r="B923" s="209"/>
      <c r="C923" s="209"/>
      <c r="D923" s="209"/>
      <c r="E923" s="209"/>
      <c r="F923" s="210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</row>
    <row r="924" customFormat="false" ht="15" hidden="false" customHeight="false" outlineLevel="0" collapsed="false">
      <c r="A924" s="209"/>
      <c r="B924" s="209"/>
      <c r="C924" s="209"/>
      <c r="D924" s="209"/>
      <c r="E924" s="209"/>
      <c r="F924" s="210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</row>
    <row r="925" customFormat="false" ht="15" hidden="false" customHeight="false" outlineLevel="0" collapsed="false">
      <c r="A925" s="209"/>
      <c r="B925" s="209"/>
      <c r="C925" s="209"/>
      <c r="D925" s="209"/>
      <c r="E925" s="209"/>
      <c r="F925" s="210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</row>
    <row r="926" customFormat="false" ht="15" hidden="false" customHeight="false" outlineLevel="0" collapsed="false">
      <c r="A926" s="209"/>
      <c r="B926" s="209"/>
      <c r="C926" s="209"/>
      <c r="D926" s="209"/>
      <c r="E926" s="209"/>
      <c r="F926" s="210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</row>
    <row r="927" customFormat="false" ht="15" hidden="false" customHeight="false" outlineLevel="0" collapsed="false">
      <c r="A927" s="209"/>
      <c r="B927" s="209"/>
      <c r="C927" s="209"/>
      <c r="D927" s="209"/>
      <c r="E927" s="209"/>
      <c r="F927" s="210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</row>
    <row r="928" customFormat="false" ht="15" hidden="false" customHeight="false" outlineLevel="0" collapsed="false">
      <c r="A928" s="209"/>
      <c r="B928" s="209"/>
      <c r="C928" s="209"/>
      <c r="D928" s="209"/>
      <c r="E928" s="209"/>
      <c r="F928" s="210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</row>
    <row r="929" customFormat="false" ht="15" hidden="false" customHeight="false" outlineLevel="0" collapsed="false">
      <c r="A929" s="209"/>
      <c r="B929" s="209"/>
      <c r="C929" s="209"/>
      <c r="D929" s="209"/>
      <c r="E929" s="209"/>
      <c r="F929" s="210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</row>
    <row r="930" customFormat="false" ht="15" hidden="false" customHeight="false" outlineLevel="0" collapsed="false">
      <c r="A930" s="209"/>
      <c r="B930" s="209"/>
      <c r="C930" s="209"/>
      <c r="D930" s="209"/>
      <c r="E930" s="209"/>
      <c r="F930" s="210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</row>
    <row r="931" customFormat="false" ht="15" hidden="false" customHeight="false" outlineLevel="0" collapsed="false">
      <c r="A931" s="209"/>
      <c r="B931" s="209"/>
      <c r="C931" s="209"/>
      <c r="D931" s="209"/>
      <c r="E931" s="209"/>
      <c r="F931" s="210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</row>
    <row r="932" customFormat="false" ht="15" hidden="false" customHeight="false" outlineLevel="0" collapsed="false">
      <c r="A932" s="209"/>
      <c r="B932" s="209"/>
      <c r="C932" s="209"/>
      <c r="D932" s="209"/>
      <c r="E932" s="209"/>
      <c r="F932" s="210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</row>
    <row r="933" customFormat="false" ht="15" hidden="false" customHeight="false" outlineLevel="0" collapsed="false">
      <c r="A933" s="209"/>
      <c r="B933" s="209"/>
      <c r="C933" s="209"/>
      <c r="D933" s="209"/>
      <c r="E933" s="209"/>
      <c r="F933" s="210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</row>
    <row r="934" customFormat="false" ht="15" hidden="false" customHeight="false" outlineLevel="0" collapsed="false">
      <c r="A934" s="209"/>
      <c r="B934" s="209"/>
      <c r="C934" s="209"/>
      <c r="D934" s="209"/>
      <c r="E934" s="209"/>
      <c r="F934" s="210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</row>
    <row r="935" customFormat="false" ht="15" hidden="false" customHeight="false" outlineLevel="0" collapsed="false">
      <c r="A935" s="209"/>
      <c r="B935" s="209"/>
      <c r="C935" s="209"/>
      <c r="D935" s="209"/>
      <c r="E935" s="209"/>
      <c r="F935" s="210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</row>
    <row r="936" customFormat="false" ht="15" hidden="false" customHeight="false" outlineLevel="0" collapsed="false">
      <c r="A936" s="209"/>
      <c r="B936" s="209"/>
      <c r="C936" s="209"/>
      <c r="D936" s="209"/>
      <c r="E936" s="209"/>
      <c r="F936" s="210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</row>
    <row r="937" customFormat="false" ht="15" hidden="false" customHeight="false" outlineLevel="0" collapsed="false">
      <c r="A937" s="209"/>
      <c r="B937" s="209"/>
      <c r="C937" s="209"/>
      <c r="D937" s="209"/>
      <c r="E937" s="209"/>
      <c r="F937" s="210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</row>
    <row r="938" customFormat="false" ht="15" hidden="false" customHeight="false" outlineLevel="0" collapsed="false">
      <c r="A938" s="209"/>
      <c r="B938" s="209"/>
      <c r="C938" s="209"/>
      <c r="D938" s="209"/>
      <c r="E938" s="209"/>
      <c r="F938" s="210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</row>
    <row r="939" customFormat="false" ht="15" hidden="false" customHeight="false" outlineLevel="0" collapsed="false">
      <c r="A939" s="209"/>
      <c r="B939" s="209"/>
      <c r="C939" s="209"/>
      <c r="D939" s="209"/>
      <c r="E939" s="209"/>
      <c r="F939" s="210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</row>
    <row r="940" customFormat="false" ht="15" hidden="false" customHeight="false" outlineLevel="0" collapsed="false">
      <c r="A940" s="209"/>
      <c r="B940" s="209"/>
      <c r="C940" s="209"/>
      <c r="D940" s="209"/>
      <c r="E940" s="209"/>
      <c r="F940" s="210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</row>
    <row r="941" customFormat="false" ht="15" hidden="false" customHeight="false" outlineLevel="0" collapsed="false">
      <c r="A941" s="209"/>
      <c r="B941" s="209"/>
      <c r="C941" s="209"/>
      <c r="D941" s="209"/>
      <c r="E941" s="209"/>
      <c r="F941" s="210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</row>
    <row r="942" customFormat="false" ht="15" hidden="false" customHeight="false" outlineLevel="0" collapsed="false">
      <c r="A942" s="209"/>
      <c r="B942" s="209"/>
      <c r="C942" s="209"/>
      <c r="D942" s="209"/>
      <c r="E942" s="209"/>
      <c r="F942" s="210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</row>
    <row r="943" customFormat="false" ht="15" hidden="false" customHeight="false" outlineLevel="0" collapsed="false">
      <c r="A943" s="209"/>
      <c r="B943" s="209"/>
      <c r="C943" s="209"/>
      <c r="D943" s="209"/>
      <c r="E943" s="209"/>
      <c r="F943" s="210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</row>
    <row r="944" customFormat="false" ht="15" hidden="false" customHeight="false" outlineLevel="0" collapsed="false">
      <c r="A944" s="209"/>
      <c r="B944" s="209"/>
      <c r="C944" s="209"/>
      <c r="D944" s="209"/>
      <c r="E944" s="209"/>
      <c r="F944" s="210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</row>
    <row r="945" customFormat="false" ht="15" hidden="false" customHeight="false" outlineLevel="0" collapsed="false">
      <c r="A945" s="209"/>
      <c r="B945" s="209"/>
      <c r="C945" s="209"/>
      <c r="D945" s="209"/>
      <c r="E945" s="209"/>
      <c r="F945" s="210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</row>
    <row r="946" customFormat="false" ht="15" hidden="false" customHeight="false" outlineLevel="0" collapsed="false">
      <c r="A946" s="209"/>
      <c r="B946" s="209"/>
      <c r="C946" s="209"/>
      <c r="D946" s="209"/>
      <c r="E946" s="209"/>
      <c r="F946" s="210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</row>
    <row r="947" customFormat="false" ht="15" hidden="false" customHeight="false" outlineLevel="0" collapsed="false">
      <c r="A947" s="209"/>
      <c r="B947" s="209"/>
      <c r="C947" s="209"/>
      <c r="D947" s="209"/>
      <c r="E947" s="209"/>
      <c r="F947" s="210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</row>
    <row r="948" customFormat="false" ht="15" hidden="false" customHeight="false" outlineLevel="0" collapsed="false">
      <c r="A948" s="209"/>
      <c r="B948" s="209"/>
      <c r="C948" s="209"/>
      <c r="D948" s="209"/>
      <c r="E948" s="209"/>
      <c r="F948" s="210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</row>
    <row r="949" customFormat="false" ht="15" hidden="false" customHeight="false" outlineLevel="0" collapsed="false">
      <c r="A949" s="209"/>
      <c r="B949" s="209"/>
      <c r="C949" s="209"/>
      <c r="D949" s="209"/>
      <c r="E949" s="209"/>
      <c r="F949" s="210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</row>
    <row r="950" customFormat="false" ht="15" hidden="false" customHeight="false" outlineLevel="0" collapsed="false">
      <c r="A950" s="209"/>
      <c r="B950" s="209"/>
      <c r="C950" s="209"/>
      <c r="D950" s="209"/>
      <c r="E950" s="209"/>
      <c r="F950" s="210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</row>
    <row r="951" customFormat="false" ht="15" hidden="false" customHeight="false" outlineLevel="0" collapsed="false">
      <c r="A951" s="209"/>
      <c r="B951" s="209"/>
      <c r="C951" s="209"/>
      <c r="D951" s="209"/>
      <c r="E951" s="209"/>
      <c r="F951" s="210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</row>
    <row r="952" customFormat="false" ht="15" hidden="false" customHeight="false" outlineLevel="0" collapsed="false">
      <c r="A952" s="209"/>
      <c r="B952" s="209"/>
      <c r="C952" s="209"/>
      <c r="D952" s="209"/>
      <c r="E952" s="209"/>
      <c r="F952" s="210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</row>
    <row r="953" customFormat="false" ht="15" hidden="false" customHeight="false" outlineLevel="0" collapsed="false">
      <c r="A953" s="209"/>
      <c r="B953" s="209"/>
      <c r="C953" s="209"/>
      <c r="D953" s="209"/>
      <c r="E953" s="209"/>
      <c r="F953" s="210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</row>
    <row r="954" customFormat="false" ht="15" hidden="false" customHeight="false" outlineLevel="0" collapsed="false">
      <c r="A954" s="209"/>
      <c r="B954" s="209"/>
      <c r="C954" s="209"/>
      <c r="D954" s="209"/>
      <c r="E954" s="209"/>
      <c r="F954" s="210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</row>
    <row r="955" customFormat="false" ht="15" hidden="false" customHeight="false" outlineLevel="0" collapsed="false">
      <c r="A955" s="209"/>
      <c r="B955" s="209"/>
      <c r="C955" s="209"/>
      <c r="D955" s="209"/>
      <c r="E955" s="209"/>
      <c r="F955" s="210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</row>
    <row r="956" customFormat="false" ht="15" hidden="false" customHeight="false" outlineLevel="0" collapsed="false">
      <c r="A956" s="209"/>
      <c r="B956" s="209"/>
      <c r="C956" s="209"/>
      <c r="D956" s="209"/>
      <c r="E956" s="209"/>
      <c r="F956" s="210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</row>
    <row r="957" customFormat="false" ht="15" hidden="false" customHeight="false" outlineLevel="0" collapsed="false">
      <c r="A957" s="209"/>
      <c r="B957" s="209"/>
      <c r="C957" s="209"/>
      <c r="D957" s="209"/>
      <c r="E957" s="209"/>
      <c r="F957" s="210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</row>
    <row r="958" customFormat="false" ht="15" hidden="false" customHeight="false" outlineLevel="0" collapsed="false">
      <c r="A958" s="209"/>
      <c r="B958" s="209"/>
      <c r="C958" s="209"/>
      <c r="D958" s="209"/>
      <c r="E958" s="209"/>
      <c r="F958" s="210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</row>
    <row r="959" customFormat="false" ht="15" hidden="false" customHeight="false" outlineLevel="0" collapsed="false">
      <c r="A959" s="209"/>
      <c r="B959" s="209"/>
      <c r="C959" s="209"/>
      <c r="D959" s="209"/>
      <c r="E959" s="209"/>
      <c r="F959" s="210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</row>
    <row r="960" customFormat="false" ht="15" hidden="false" customHeight="false" outlineLevel="0" collapsed="false">
      <c r="A960" s="209"/>
      <c r="B960" s="209"/>
      <c r="C960" s="209"/>
      <c r="D960" s="209"/>
      <c r="E960" s="209"/>
      <c r="F960" s="210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</row>
    <row r="961" customFormat="false" ht="15" hidden="false" customHeight="false" outlineLevel="0" collapsed="false">
      <c r="A961" s="209"/>
      <c r="B961" s="209"/>
      <c r="C961" s="209"/>
      <c r="D961" s="209"/>
      <c r="E961" s="209"/>
      <c r="F961" s="210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</row>
    <row r="962" customFormat="false" ht="15" hidden="false" customHeight="false" outlineLevel="0" collapsed="false">
      <c r="A962" s="209"/>
      <c r="B962" s="209"/>
      <c r="C962" s="209"/>
      <c r="D962" s="209"/>
      <c r="E962" s="209"/>
      <c r="F962" s="210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</row>
    <row r="963" customFormat="false" ht="15" hidden="false" customHeight="false" outlineLevel="0" collapsed="false">
      <c r="A963" s="209"/>
      <c r="B963" s="209"/>
      <c r="C963" s="209"/>
      <c r="D963" s="209"/>
      <c r="E963" s="209"/>
      <c r="F963" s="210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</row>
    <row r="964" customFormat="false" ht="15" hidden="false" customHeight="false" outlineLevel="0" collapsed="false">
      <c r="A964" s="209"/>
      <c r="B964" s="209"/>
      <c r="C964" s="209"/>
      <c r="D964" s="209"/>
      <c r="E964" s="209"/>
      <c r="F964" s="210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</row>
    <row r="965" customFormat="false" ht="15" hidden="false" customHeight="false" outlineLevel="0" collapsed="false">
      <c r="A965" s="209"/>
      <c r="B965" s="209"/>
      <c r="C965" s="209"/>
      <c r="D965" s="209"/>
      <c r="E965" s="209"/>
      <c r="F965" s="210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</row>
    <row r="966" customFormat="false" ht="15" hidden="false" customHeight="false" outlineLevel="0" collapsed="false">
      <c r="A966" s="209"/>
      <c r="B966" s="209"/>
      <c r="C966" s="209"/>
      <c r="D966" s="209"/>
      <c r="E966" s="209"/>
      <c r="F966" s="210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</row>
    <row r="967" customFormat="false" ht="15" hidden="false" customHeight="false" outlineLevel="0" collapsed="false">
      <c r="A967" s="209"/>
      <c r="B967" s="209"/>
      <c r="C967" s="209"/>
      <c r="D967" s="209"/>
      <c r="E967" s="209"/>
      <c r="F967" s="210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</row>
    <row r="968" customFormat="false" ht="15" hidden="false" customHeight="false" outlineLevel="0" collapsed="false">
      <c r="A968" s="209"/>
      <c r="B968" s="209"/>
      <c r="C968" s="209"/>
      <c r="D968" s="209"/>
      <c r="E968" s="209"/>
      <c r="F968" s="210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</row>
    <row r="969" customFormat="false" ht="15" hidden="false" customHeight="false" outlineLevel="0" collapsed="false">
      <c r="A969" s="209"/>
      <c r="B969" s="209"/>
      <c r="C969" s="209"/>
      <c r="D969" s="209"/>
      <c r="E969" s="209"/>
      <c r="F969" s="210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</row>
    <row r="970" customFormat="false" ht="15" hidden="false" customHeight="false" outlineLevel="0" collapsed="false">
      <c r="A970" s="209"/>
      <c r="B970" s="209"/>
      <c r="C970" s="209"/>
      <c r="D970" s="209"/>
      <c r="E970" s="209"/>
      <c r="F970" s="210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</row>
    <row r="971" customFormat="false" ht="15" hidden="false" customHeight="false" outlineLevel="0" collapsed="false">
      <c r="A971" s="209"/>
      <c r="B971" s="209"/>
      <c r="C971" s="209"/>
      <c r="D971" s="209"/>
      <c r="E971" s="209"/>
      <c r="F971" s="210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</row>
    <row r="972" customFormat="false" ht="15" hidden="false" customHeight="false" outlineLevel="0" collapsed="false">
      <c r="A972" s="209"/>
      <c r="B972" s="209"/>
      <c r="C972" s="209"/>
      <c r="D972" s="209"/>
      <c r="E972" s="209"/>
      <c r="F972" s="210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</row>
    <row r="973" customFormat="false" ht="15" hidden="false" customHeight="false" outlineLevel="0" collapsed="false">
      <c r="A973" s="209"/>
      <c r="B973" s="209"/>
      <c r="C973" s="209"/>
      <c r="D973" s="209"/>
      <c r="E973" s="209"/>
      <c r="F973" s="210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</row>
    <row r="974" customFormat="false" ht="15" hidden="false" customHeight="false" outlineLevel="0" collapsed="false">
      <c r="A974" s="209"/>
      <c r="B974" s="209"/>
      <c r="C974" s="209"/>
      <c r="D974" s="209"/>
      <c r="E974" s="209"/>
      <c r="F974" s="210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</row>
    <row r="975" customFormat="false" ht="15" hidden="false" customHeight="false" outlineLevel="0" collapsed="false">
      <c r="A975" s="209"/>
      <c r="B975" s="209"/>
      <c r="C975" s="209"/>
      <c r="D975" s="209"/>
      <c r="E975" s="209"/>
      <c r="F975" s="210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</row>
    <row r="976" customFormat="false" ht="15" hidden="false" customHeight="false" outlineLevel="0" collapsed="false">
      <c r="A976" s="209"/>
      <c r="B976" s="209"/>
      <c r="C976" s="209"/>
      <c r="D976" s="209"/>
      <c r="E976" s="209"/>
      <c r="F976" s="210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</row>
    <row r="977" customFormat="false" ht="15" hidden="false" customHeight="false" outlineLevel="0" collapsed="false">
      <c r="A977" s="209"/>
      <c r="B977" s="209"/>
      <c r="C977" s="209"/>
      <c r="D977" s="209"/>
      <c r="E977" s="209"/>
      <c r="F977" s="210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</row>
    <row r="978" customFormat="false" ht="15" hidden="false" customHeight="false" outlineLevel="0" collapsed="false">
      <c r="A978" s="209"/>
      <c r="B978" s="209"/>
      <c r="C978" s="209"/>
      <c r="D978" s="209"/>
      <c r="E978" s="209"/>
      <c r="F978" s="210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</row>
    <row r="979" customFormat="false" ht="15" hidden="false" customHeight="false" outlineLevel="0" collapsed="false">
      <c r="A979" s="209"/>
      <c r="B979" s="209"/>
      <c r="C979" s="209"/>
      <c r="D979" s="209"/>
      <c r="E979" s="209"/>
      <c r="F979" s="210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</row>
    <row r="980" customFormat="false" ht="15" hidden="false" customHeight="false" outlineLevel="0" collapsed="false">
      <c r="A980" s="209"/>
      <c r="B980" s="209"/>
      <c r="C980" s="209"/>
      <c r="D980" s="209"/>
      <c r="E980" s="209"/>
      <c r="F980" s="210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</row>
    <row r="981" customFormat="false" ht="15" hidden="false" customHeight="false" outlineLevel="0" collapsed="false">
      <c r="A981" s="209"/>
      <c r="B981" s="209"/>
      <c r="C981" s="209"/>
      <c r="D981" s="209"/>
      <c r="E981" s="209"/>
      <c r="F981" s="210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</row>
    <row r="982" customFormat="false" ht="15" hidden="false" customHeight="false" outlineLevel="0" collapsed="false">
      <c r="A982" s="209"/>
      <c r="B982" s="209"/>
      <c r="C982" s="209"/>
      <c r="D982" s="209"/>
      <c r="E982" s="209"/>
      <c r="F982" s="210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</row>
    <row r="983" customFormat="false" ht="15" hidden="false" customHeight="false" outlineLevel="0" collapsed="false">
      <c r="A983" s="209"/>
      <c r="B983" s="209"/>
      <c r="C983" s="209"/>
      <c r="D983" s="209"/>
      <c r="E983" s="209"/>
      <c r="F983" s="210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</row>
    <row r="984" customFormat="false" ht="15" hidden="false" customHeight="false" outlineLevel="0" collapsed="false">
      <c r="A984" s="209"/>
      <c r="B984" s="209"/>
      <c r="C984" s="209"/>
      <c r="D984" s="209"/>
      <c r="E984" s="209"/>
      <c r="F984" s="210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</row>
    <row r="985" customFormat="false" ht="15" hidden="false" customHeight="false" outlineLevel="0" collapsed="false">
      <c r="A985" s="209"/>
      <c r="B985" s="209"/>
      <c r="C985" s="209"/>
      <c r="D985" s="209"/>
      <c r="E985" s="209"/>
      <c r="F985" s="210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</row>
    <row r="986" customFormat="false" ht="15" hidden="false" customHeight="false" outlineLevel="0" collapsed="false">
      <c r="A986" s="209"/>
      <c r="B986" s="209"/>
      <c r="C986" s="209"/>
      <c r="D986" s="209"/>
      <c r="E986" s="209"/>
      <c r="F986" s="210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</row>
    <row r="987" customFormat="false" ht="15" hidden="false" customHeight="false" outlineLevel="0" collapsed="false">
      <c r="A987" s="209"/>
      <c r="B987" s="209"/>
      <c r="C987" s="209"/>
      <c r="D987" s="209"/>
      <c r="E987" s="209"/>
      <c r="F987" s="210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</row>
    <row r="988" customFormat="false" ht="15" hidden="false" customHeight="false" outlineLevel="0" collapsed="false">
      <c r="A988" s="209"/>
      <c r="B988" s="209"/>
      <c r="C988" s="209"/>
      <c r="D988" s="209"/>
      <c r="E988" s="209"/>
      <c r="F988" s="210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</row>
    <row r="989" customFormat="false" ht="15" hidden="false" customHeight="false" outlineLevel="0" collapsed="false">
      <c r="A989" s="209"/>
      <c r="B989" s="209"/>
      <c r="C989" s="209"/>
      <c r="D989" s="209"/>
      <c r="E989" s="209"/>
      <c r="F989" s="210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</row>
    <row r="990" customFormat="false" ht="15" hidden="false" customHeight="false" outlineLevel="0" collapsed="false">
      <c r="A990" s="209"/>
      <c r="B990" s="209"/>
      <c r="C990" s="209"/>
      <c r="D990" s="209"/>
      <c r="E990" s="209"/>
      <c r="F990" s="210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</row>
    <row r="991" customFormat="false" ht="15" hidden="false" customHeight="false" outlineLevel="0" collapsed="false">
      <c r="A991" s="209"/>
      <c r="B991" s="209"/>
      <c r="C991" s="209"/>
      <c r="D991" s="209"/>
      <c r="E991" s="209"/>
      <c r="F991" s="210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9"/>
      <c r="W991" s="199"/>
    </row>
    <row r="992" customFormat="false" ht="15" hidden="false" customHeight="false" outlineLevel="0" collapsed="false">
      <c r="A992" s="209"/>
      <c r="B992" s="209"/>
      <c r="C992" s="209"/>
      <c r="D992" s="209"/>
      <c r="E992" s="209"/>
      <c r="F992" s="210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9"/>
      <c r="W992" s="199"/>
    </row>
    <row r="993" customFormat="false" ht="15" hidden="false" customHeight="false" outlineLevel="0" collapsed="false">
      <c r="A993" s="209"/>
      <c r="B993" s="209"/>
      <c r="C993" s="209"/>
      <c r="D993" s="209"/>
      <c r="E993" s="209"/>
      <c r="F993" s="210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9"/>
      <c r="W993" s="199"/>
    </row>
    <row r="994" customFormat="false" ht="15" hidden="false" customHeight="false" outlineLevel="0" collapsed="false">
      <c r="A994" s="209"/>
      <c r="B994" s="209"/>
      <c r="C994" s="209"/>
      <c r="D994" s="209"/>
      <c r="E994" s="209"/>
      <c r="F994" s="210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</row>
    <row r="995" customFormat="false" ht="15" hidden="false" customHeight="false" outlineLevel="0" collapsed="false">
      <c r="A995" s="209"/>
      <c r="B995" s="209"/>
      <c r="C995" s="209"/>
      <c r="D995" s="209"/>
      <c r="E995" s="209"/>
      <c r="F995" s="210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9"/>
      <c r="W995" s="199"/>
    </row>
    <row r="996" customFormat="false" ht="15" hidden="false" customHeight="false" outlineLevel="0" collapsed="false">
      <c r="A996" s="209"/>
      <c r="B996" s="209"/>
      <c r="C996" s="209"/>
      <c r="D996" s="209"/>
      <c r="E996" s="209"/>
      <c r="F996" s="210"/>
      <c r="G996" s="199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</row>
    <row r="997" customFormat="false" ht="15" hidden="false" customHeight="false" outlineLevel="0" collapsed="false">
      <c r="A997" s="209"/>
      <c r="B997" s="209"/>
      <c r="C997" s="209"/>
      <c r="D997" s="209"/>
      <c r="E997" s="209"/>
      <c r="F997" s="210"/>
      <c r="G997" s="199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</row>
    <row r="998" customFormat="false" ht="15" hidden="false" customHeight="false" outlineLevel="0" collapsed="false">
      <c r="A998" s="209"/>
      <c r="B998" s="209"/>
      <c r="C998" s="209"/>
      <c r="D998" s="209"/>
      <c r="E998" s="209"/>
      <c r="F998" s="210"/>
      <c r="G998" s="199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</row>
    <row r="999" customFormat="false" ht="15" hidden="false" customHeight="false" outlineLevel="0" collapsed="false">
      <c r="A999" s="209"/>
      <c r="B999" s="209"/>
      <c r="C999" s="209"/>
      <c r="D999" s="209"/>
      <c r="E999" s="209"/>
      <c r="F999" s="210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</row>
    <row r="1000" customFormat="false" ht="15" hidden="false" customHeight="false" outlineLevel="0" collapsed="false">
      <c r="A1000" s="209"/>
      <c r="B1000" s="209"/>
      <c r="C1000" s="209"/>
      <c r="D1000" s="209"/>
      <c r="E1000" s="209"/>
      <c r="F1000" s="210"/>
      <c r="G1000" s="199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LibreOffice/6.4.4.2$Windows_x86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2020-09-22T15:17:57Z</dcterms:modified>
  <cp:revision>1</cp:revision>
  <dc:subject/>
  <dc:title/>
</cp:coreProperties>
</file>